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Books R Us Sales Raw" sheetId="1" r:id="rId1"/>
  </sheets>
  <definedNames/>
  <calcPr fullCalcOnLoad="1"/>
</workbook>
</file>

<file path=xl/sharedStrings.xml><?xml version="1.0" encoding="utf-8"?>
<sst xmlns="http://schemas.openxmlformats.org/spreadsheetml/2006/main" count="474" uniqueCount="162">
  <si>
    <t xml:space="preserve"> </t>
  </si>
  <si>
    <t>Sales Revenue by week</t>
  </si>
  <si>
    <t>Look in Cells M3 to BG 50 to complete the totals</t>
  </si>
  <si>
    <t>Quarterly Averages and Totals Should Populate</t>
  </si>
  <si>
    <t xml:space="preserve">Total  </t>
  </si>
  <si>
    <t>Book</t>
  </si>
  <si>
    <t>First Quarter Revenues</t>
  </si>
  <si>
    <t>First Quarter Costs</t>
  </si>
  <si>
    <t>Second Quarter Revenues</t>
  </si>
  <si>
    <t>Second Quarter Costs</t>
  </si>
  <si>
    <t>Third Quarter Revenues</t>
  </si>
  <si>
    <t>Third Quarter Costs</t>
  </si>
  <si>
    <t>Fourth Quarter Revenues</t>
  </si>
  <si>
    <t>Fourth Quarter Costs</t>
  </si>
  <si>
    <t>Use this information to create a budget for Books R Us</t>
  </si>
  <si>
    <t>Date</t>
  </si>
  <si>
    <t>Total</t>
  </si>
  <si>
    <t>Services</t>
  </si>
  <si>
    <t>Books</t>
  </si>
  <si>
    <t xml:space="preserve">Week </t>
  </si>
  <si>
    <t>Personnel</t>
  </si>
  <si>
    <t>Fixed Costs</t>
  </si>
  <si>
    <t>Publishing Costs</t>
  </si>
  <si>
    <t>Office Costs</t>
  </si>
  <si>
    <t>Total Costs</t>
  </si>
  <si>
    <t>Jan 5 - 9</t>
  </si>
  <si>
    <t>Apr 5 - 9</t>
  </si>
  <si>
    <t>7.5-7.9</t>
  </si>
  <si>
    <t>Oct 4 - Oct 8</t>
  </si>
  <si>
    <t>Jan 12 - 16</t>
  </si>
  <si>
    <t>Apr 12 - 16</t>
  </si>
  <si>
    <t>7.12-7.16</t>
  </si>
  <si>
    <t>Oct 11 - 15</t>
  </si>
  <si>
    <t xml:space="preserve">Note that we have four sets of data. </t>
  </si>
  <si>
    <t>Bookselling Services</t>
  </si>
  <si>
    <t>Jan 19 - 23</t>
  </si>
  <si>
    <t>Apr 19 - 23</t>
  </si>
  <si>
    <t>7.19-7.23</t>
  </si>
  <si>
    <t>Oct 18 - 22</t>
  </si>
  <si>
    <t>Set up book signings</t>
  </si>
  <si>
    <t>Jan 26 - 30</t>
  </si>
  <si>
    <t>Apr 26 - 30</t>
  </si>
  <si>
    <t>7.26-7.30</t>
  </si>
  <si>
    <t>Oct 25 - 29</t>
  </si>
  <si>
    <t>Set up Radio / TV interviews</t>
  </si>
  <si>
    <t>Feb 2 - 6</t>
  </si>
  <si>
    <t>May 3 - 7</t>
  </si>
  <si>
    <t>Aug. 2 - 6</t>
  </si>
  <si>
    <t>Nov. 1 - 5</t>
  </si>
  <si>
    <t>Send e-mails to book stores</t>
  </si>
  <si>
    <t>Feb 9 - 13</t>
  </si>
  <si>
    <t>5.10 - 5.14</t>
  </si>
  <si>
    <t>Aug 9 - 13</t>
  </si>
  <si>
    <t>Nov. 8 - 12</t>
  </si>
  <si>
    <t>Send mass mailings to bookstores</t>
  </si>
  <si>
    <t>Feb 16 - 20</t>
  </si>
  <si>
    <t>261.2</t>
  </si>
  <si>
    <t>5.17 - 5.21</t>
  </si>
  <si>
    <t>Aug 13-20</t>
  </si>
  <si>
    <t>Nov. 15 - 19</t>
  </si>
  <si>
    <t xml:space="preserve">Contact Film Makers </t>
  </si>
  <si>
    <t>Feb 23 - 27</t>
  </si>
  <si>
    <t>5255.5</t>
  </si>
  <si>
    <t>1050.72</t>
  </si>
  <si>
    <t>5.24-5.28</t>
  </si>
  <si>
    <t>Aug 23-27</t>
  </si>
  <si>
    <t>Nov. 22-26</t>
  </si>
  <si>
    <t>Print Books</t>
  </si>
  <si>
    <t>Mar 1 - 5</t>
  </si>
  <si>
    <t>5.31-6.04</t>
  </si>
  <si>
    <t>Aug 30 - Sept 3</t>
  </si>
  <si>
    <t>Nov. 29-12/3</t>
  </si>
  <si>
    <t>Line up book reviews</t>
  </si>
  <si>
    <t>Mar 8 - 12</t>
  </si>
  <si>
    <t>6.7-6.11</t>
  </si>
  <si>
    <t>Sept 6 - 10</t>
  </si>
  <si>
    <t>Dec 6 - 10</t>
  </si>
  <si>
    <t xml:space="preserve">How can I use these measures and compare </t>
  </si>
  <si>
    <t>Mar 15 - 19</t>
  </si>
  <si>
    <t>6.14-6.18</t>
  </si>
  <si>
    <t>Sept 13 - 17</t>
  </si>
  <si>
    <t>Dec 13-17</t>
  </si>
  <si>
    <t>to the overall total average (which you must first calculate) via:</t>
  </si>
  <si>
    <t>Mar 22 - 26</t>
  </si>
  <si>
    <t>6.21-6.25</t>
  </si>
  <si>
    <t>Sept 20 - 24</t>
  </si>
  <si>
    <t>Dec 20 - 24</t>
  </si>
  <si>
    <t>A ratio analysis</t>
  </si>
  <si>
    <t>Mar 29 - Apr 1</t>
  </si>
  <si>
    <t>6.28-7.2</t>
  </si>
  <si>
    <t>Sept 27 - Oct 01</t>
  </si>
  <si>
    <t>Dec 27 - 31</t>
  </si>
  <si>
    <t>The calculation of an index</t>
  </si>
  <si>
    <t>AVERAGE</t>
  </si>
  <si>
    <t>A comparison of short term vs. long term trends</t>
  </si>
  <si>
    <t>Standard Deviation</t>
  </si>
  <si>
    <t>Coefficient of Var</t>
  </si>
  <si>
    <t>Quarterly Total</t>
  </si>
  <si>
    <t>Quarter 1</t>
  </si>
  <si>
    <t>Total Reviewers</t>
  </si>
  <si>
    <t>Total Publishing</t>
  </si>
  <si>
    <t>Ave. Weekly Sales</t>
  </si>
  <si>
    <t>Ave. Weekly Costs</t>
  </si>
  <si>
    <t>Total Other Serivces</t>
  </si>
  <si>
    <t>Personel</t>
  </si>
  <si>
    <t>Publishing</t>
  </si>
  <si>
    <t>Misc</t>
  </si>
  <si>
    <t>Quarter 2</t>
  </si>
  <si>
    <t>Quarter 3</t>
  </si>
  <si>
    <t>Quarter 4</t>
  </si>
  <si>
    <t>Quarterly Total Revenues</t>
  </si>
  <si>
    <t>Quarterly Total Costs</t>
  </si>
  <si>
    <t>Total Non-reviewes</t>
  </si>
  <si>
    <t>Total ca Publishing Services</t>
  </si>
  <si>
    <t>Frieght</t>
  </si>
  <si>
    <t>Total Service</t>
  </si>
  <si>
    <t>TOTAL</t>
  </si>
  <si>
    <t>Ave. Weekly Net Revenue</t>
  </si>
  <si>
    <t>A Typical Month</t>
  </si>
  <si>
    <t>Inventory</t>
  </si>
  <si>
    <t>Qty</t>
  </si>
  <si>
    <t>Amount</t>
  </si>
  <si>
    <t>Avg Price</t>
  </si>
  <si>
    <t>Quarterly Net Revenue</t>
  </si>
  <si>
    <t>1113</t>
  </si>
  <si>
    <t>1596</t>
  </si>
  <si>
    <t>1842</t>
  </si>
  <si>
    <t>1868</t>
  </si>
  <si>
    <t>1868A</t>
  </si>
  <si>
    <t>1869</t>
  </si>
  <si>
    <t>1907</t>
  </si>
  <si>
    <t>1976</t>
  </si>
  <si>
    <t>2024</t>
  </si>
  <si>
    <t>2066</t>
  </si>
  <si>
    <t>2293</t>
  </si>
  <si>
    <t>Average Weekly</t>
  </si>
  <si>
    <t>Coefficient of Variation</t>
  </si>
  <si>
    <t>Total Inventory</t>
  </si>
  <si>
    <t xml:space="preserve">  </t>
  </si>
  <si>
    <t>Service</t>
  </si>
  <si>
    <t>B/SpkgIntro</t>
  </si>
  <si>
    <t>B/SpkgMax</t>
  </si>
  <si>
    <t>Reviewers</t>
  </si>
  <si>
    <t>Book Clubs</t>
  </si>
  <si>
    <t>Ediitors</t>
  </si>
  <si>
    <t>Filmmakers</t>
  </si>
  <si>
    <t>Media Book Critics</t>
  </si>
  <si>
    <t>Telemarketing</t>
  </si>
  <si>
    <t>World Wide Wire</t>
  </si>
  <si>
    <t>Total Bookselling Services</t>
  </si>
  <si>
    <t>ca Publishing Services</t>
  </si>
  <si>
    <t>Data Entry/Scanning</t>
  </si>
  <si>
    <t>Print Add'l Books</t>
  </si>
  <si>
    <t>Production</t>
  </si>
  <si>
    <t>Publish Book</t>
  </si>
  <si>
    <t>200 Hours</t>
  </si>
  <si>
    <t>150 Hours</t>
  </si>
  <si>
    <t>100 Hours</t>
  </si>
  <si>
    <t>Cost</t>
  </si>
  <si>
    <t>BRUS Costs @ $25 Per Hour</t>
  </si>
  <si>
    <t>Revenue</t>
  </si>
  <si>
    <t>Net Cost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</si>
</sst>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###;\-#,##0.00###"/>
    <numFmt numFmtId="165" formatCode="#,##0.00;\-#,##0.00"/>
    <numFmt numFmtId="166" formatCode="#,##0.0#%;\-#,##0.0#%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"/>
    <numFmt numFmtId="172" formatCode="#,##0.000_);[Red]\(#,##0.000\)"/>
    <numFmt numFmtId="173" formatCode="m/d"/>
    <numFmt numFmtId="174" formatCode="_(&quot;$&quot;* #,##0.000_);_(&quot;$&quot;* \(#,##0.000\);_(&quot;$&quot;* &quot;-&quot;???_);_(@_)"/>
    <numFmt numFmtId="175" formatCode="[$-409]dddd\,\ mmmm\ dd\,\ yyyy"/>
    <numFmt numFmtId="176" formatCode="[$-409]d\-mmm\-yy;@"/>
    <numFmt numFmtId="177" formatCode="&quot;$&quot;#,##0.000"/>
    <numFmt numFmtId="178" formatCode="0.0%"/>
    <numFmt numFmtId="179" formatCode="[$€-2]\ #,##0.00_);[Red]\([$€-2]\ #,##0.00\)"/>
    <numFmt numFmtId="180" formatCode="&quot;$&quot;#,##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2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left"/>
    </xf>
    <xf numFmtId="2" fontId="27" fillId="24" borderId="10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3" fontId="22" fillId="0" borderId="10" xfId="0" applyNumberFormat="1" applyFont="1" applyFill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2" fillId="0" borderId="11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left"/>
    </xf>
    <xf numFmtId="3" fontId="22" fillId="0" borderId="1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 horizontal="left"/>
    </xf>
    <xf numFmtId="3" fontId="28" fillId="0" borderId="1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49" fontId="29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2" fontId="27" fillId="0" borderId="10" xfId="0" applyNumberFormat="1" applyFont="1" applyBorder="1" applyAlignment="1">
      <alignment horizontal="right"/>
    </xf>
    <xf numFmtId="49" fontId="28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2" fontId="30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8" fillId="0" borderId="11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/>
    </xf>
    <xf numFmtId="3" fontId="22" fillId="25" borderId="10" xfId="0" applyNumberFormat="1" applyFont="1" applyFill="1" applyBorder="1" applyAlignment="1">
      <alignment horizontal="right"/>
    </xf>
    <xf numFmtId="3" fontId="29" fillId="24" borderId="13" xfId="0" applyNumberFormat="1" applyFont="1" applyFill="1" applyBorder="1" applyAlignment="1">
      <alignment horizontal="left"/>
    </xf>
    <xf numFmtId="4" fontId="22" fillId="0" borderId="10" xfId="0" applyNumberFormat="1" applyFont="1" applyBorder="1" applyAlignment="1">
      <alignment/>
    </xf>
    <xf numFmtId="3" fontId="29" fillId="24" borderId="10" xfId="0" applyNumberFormat="1" applyFont="1" applyFill="1" applyBorder="1" applyAlignment="1">
      <alignment horizontal="left"/>
    </xf>
    <xf numFmtId="2" fontId="22" fillId="0" borderId="1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2" fontId="22" fillId="0" borderId="0" xfId="0" applyNumberFormat="1" applyFont="1" applyBorder="1" applyAlignment="1">
      <alignment/>
    </xf>
    <xf numFmtId="3" fontId="29" fillId="24" borderId="13" xfId="0" applyNumberFormat="1" applyFont="1" applyFill="1" applyBorder="1" applyAlignment="1">
      <alignment horizontal="left"/>
    </xf>
    <xf numFmtId="2" fontId="22" fillId="0" borderId="10" xfId="0" applyNumberFormat="1" applyFont="1" applyBorder="1" applyAlignment="1">
      <alignment/>
    </xf>
    <xf numFmtId="3" fontId="29" fillId="24" borderId="10" xfId="0" applyNumberFormat="1" applyFont="1" applyFill="1" applyBorder="1" applyAlignment="1">
      <alignment horizontal="left"/>
    </xf>
    <xf numFmtId="4" fontId="22" fillId="0" borderId="10" xfId="0" applyNumberFormat="1" applyFont="1" applyBorder="1" applyAlignment="1">
      <alignment/>
    </xf>
    <xf numFmtId="2" fontId="22" fillId="25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8" fillId="24" borderId="11" xfId="0" applyNumberFormat="1" applyFont="1" applyFill="1" applyBorder="1" applyAlignment="1">
      <alignment horizontal="left"/>
    </xf>
    <xf numFmtId="2" fontId="0" fillId="0" borderId="0" xfId="0" applyNumberFormat="1" applyAlignment="1">
      <alignment/>
    </xf>
    <xf numFmtId="3" fontId="28" fillId="24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4" fillId="0" borderId="0" xfId="0" applyFont="1" applyAlignment="1">
      <alignment horizontal="center"/>
    </xf>
    <xf numFmtId="2" fontId="28" fillId="24" borderId="11" xfId="0" applyNumberFormat="1" applyFont="1" applyFill="1" applyBorder="1" applyAlignment="1">
      <alignment horizontal="left"/>
    </xf>
    <xf numFmtId="2" fontId="28" fillId="24" borderId="11" xfId="0" applyNumberFormat="1" applyFont="1" applyFill="1" applyBorder="1" applyAlignment="1">
      <alignment horizontal="left"/>
    </xf>
    <xf numFmtId="3" fontId="28" fillId="24" borderId="10" xfId="0" applyNumberFormat="1" applyFont="1" applyFill="1" applyBorder="1" applyAlignment="1">
      <alignment horizontal="left"/>
    </xf>
    <xf numFmtId="0" fontId="22" fillId="25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1" fontId="2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3" fontId="28" fillId="25" borderId="0" xfId="0" applyNumberFormat="1" applyFont="1" applyFill="1" applyBorder="1" applyAlignment="1">
      <alignment horizontal="left"/>
    </xf>
    <xf numFmtId="2" fontId="28" fillId="25" borderId="0" xfId="0" applyNumberFormat="1" applyFont="1" applyFill="1" applyBorder="1" applyAlignment="1">
      <alignment horizontal="left"/>
    </xf>
    <xf numFmtId="2" fontId="0" fillId="25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2" fontId="30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/>
    </xf>
    <xf numFmtId="2" fontId="27" fillId="0" borderId="14" xfId="0" applyNumberFormat="1" applyFont="1" applyBorder="1" applyAlignment="1">
      <alignment/>
    </xf>
    <xf numFmtId="2" fontId="33" fillId="0" borderId="14" xfId="0" applyNumberFormat="1" applyFont="1" applyBorder="1" applyAlignment="1">
      <alignment/>
    </xf>
    <xf numFmtId="166" fontId="35" fillId="0" borderId="15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165" fontId="35" fillId="0" borderId="0" xfId="0" applyNumberFormat="1" applyFont="1" applyBorder="1" applyAlignment="1">
      <alignment/>
    </xf>
    <xf numFmtId="166" fontId="36" fillId="24" borderId="0" xfId="0" applyNumberFormat="1" applyFont="1" applyFill="1" applyBorder="1" applyAlignment="1">
      <alignment/>
    </xf>
    <xf numFmtId="166" fontId="35" fillId="0" borderId="0" xfId="0" applyNumberFormat="1" applyFont="1" applyAlignment="1">
      <alignment/>
    </xf>
    <xf numFmtId="2" fontId="27" fillId="0" borderId="10" xfId="0" applyNumberFormat="1" applyFont="1" applyBorder="1" applyAlignment="1">
      <alignment/>
    </xf>
    <xf numFmtId="166" fontId="35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165" fontId="35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49" fontId="3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164" fontId="28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65" fontId="35" fillId="0" borderId="16" xfId="0" applyNumberFormat="1" applyFont="1" applyBorder="1" applyAlignment="1">
      <alignment/>
    </xf>
    <xf numFmtId="165" fontId="28" fillId="0" borderId="16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9" fontId="29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165" fontId="28" fillId="0" borderId="10" xfId="0" applyNumberFormat="1" applyFont="1" applyBorder="1" applyAlignment="1">
      <alignment/>
    </xf>
    <xf numFmtId="166" fontId="28" fillId="0" borderId="10" xfId="0" applyNumberFormat="1" applyFont="1" applyBorder="1" applyAlignment="1">
      <alignment/>
    </xf>
    <xf numFmtId="166" fontId="29" fillId="24" borderId="10" xfId="0" applyNumberFormat="1" applyFont="1" applyFill="1" applyBorder="1" applyAlignment="1">
      <alignment/>
    </xf>
    <xf numFmtId="164" fontId="29" fillId="0" borderId="10" xfId="0" applyNumberFormat="1" applyFont="1" applyBorder="1" applyAlignment="1">
      <alignment/>
    </xf>
    <xf numFmtId="165" fontId="29" fillId="0" borderId="10" xfId="0" applyNumberFormat="1" applyFont="1" applyBorder="1" applyAlignment="1">
      <alignment/>
    </xf>
    <xf numFmtId="166" fontId="29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49" fontId="28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9" fontId="37" fillId="0" borderId="11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80" fontId="34" fillId="0" borderId="10" xfId="0" applyNumberFormat="1" applyFont="1" applyBorder="1" applyAlignment="1">
      <alignment/>
    </xf>
    <xf numFmtId="0" fontId="3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9"/>
  <sheetViews>
    <sheetView tabSelected="1" workbookViewId="0" topLeftCell="N217">
      <selection activeCell="W236" sqref="W236"/>
    </sheetView>
  </sheetViews>
  <sheetFormatPr defaultColWidth="9.140625" defaultRowHeight="12.75"/>
  <cols>
    <col min="1" max="1" width="13.28125" style="0" customWidth="1"/>
    <col min="2" max="2" width="13.421875" style="67" customWidth="1"/>
    <col min="3" max="4" width="12.421875" style="0" customWidth="1"/>
    <col min="5" max="5" width="11.57421875" style="0" bestFit="1" customWidth="1"/>
    <col min="6" max="6" width="11.8515625" style="0" customWidth="1"/>
    <col min="8" max="8" width="23.57421875" style="0" customWidth="1"/>
    <col min="9" max="11" width="14.8515625" style="0" customWidth="1"/>
    <col min="13" max="13" width="20.7109375" style="0" customWidth="1"/>
    <col min="14" max="14" width="14.8515625" style="0" customWidth="1"/>
    <col min="15" max="15" width="15.7109375" style="0" customWidth="1"/>
    <col min="16" max="16" width="15.57421875" style="0" customWidth="1"/>
    <col min="17" max="17" width="4.140625" style="0" customWidth="1"/>
    <col min="18" max="18" width="21.28125" style="0" customWidth="1"/>
    <col min="19" max="23" width="18.140625" style="0" customWidth="1"/>
    <col min="24" max="24" width="4.28125" style="0" customWidth="1"/>
    <col min="25" max="25" width="20.8515625" style="0" customWidth="1"/>
    <col min="26" max="26" width="12.57421875" style="0" customWidth="1"/>
    <col min="27" max="27" width="13.8515625" style="0" customWidth="1"/>
    <col min="28" max="28" width="12.421875" style="0" customWidth="1"/>
    <col min="29" max="29" width="4.57421875" style="0" customWidth="1"/>
    <col min="30" max="30" width="12.421875" style="0" customWidth="1"/>
    <col min="31" max="32" width="15.57421875" style="0" customWidth="1"/>
    <col min="33" max="33" width="18.7109375" style="0" customWidth="1"/>
    <col min="34" max="35" width="15.57421875" style="0" customWidth="1"/>
    <col min="36" max="36" width="4.140625" style="0" customWidth="1"/>
    <col min="37" max="37" width="20.7109375" style="0" customWidth="1"/>
    <col min="38" max="38" width="12.421875" style="0" customWidth="1"/>
    <col min="39" max="39" width="11.8515625" style="0" customWidth="1"/>
    <col min="40" max="40" width="12.7109375" style="0" customWidth="1"/>
    <col min="41" max="41" width="3.8515625" style="0" customWidth="1"/>
    <col min="42" max="42" width="12.7109375" style="0" customWidth="1"/>
    <col min="43" max="44" width="15.8515625" style="0" customWidth="1"/>
    <col min="45" max="45" width="19.421875" style="0" customWidth="1"/>
    <col min="46" max="47" width="15.8515625" style="0" customWidth="1"/>
    <col min="48" max="48" width="4.57421875" style="0" customWidth="1"/>
    <col min="49" max="49" width="20.8515625" style="0" customWidth="1"/>
    <col min="50" max="50" width="13.421875" style="0" customWidth="1"/>
    <col min="51" max="51" width="11.7109375" style="0" customWidth="1"/>
    <col min="52" max="52" width="12.8515625" style="0" customWidth="1"/>
    <col min="53" max="53" width="3.28125" style="0" customWidth="1"/>
    <col min="54" max="54" width="22.57421875" style="0" customWidth="1"/>
    <col min="55" max="56" width="13.28125" style="0" customWidth="1"/>
    <col min="57" max="57" width="21.7109375" style="0" customWidth="1"/>
    <col min="58" max="59" width="13.28125" style="0" customWidth="1"/>
  </cols>
  <sheetData>
    <row r="1" spans="1:13" ht="15.75">
      <c r="A1" s="1"/>
      <c r="B1" s="2" t="s">
        <v>0</v>
      </c>
      <c r="C1" s="2"/>
      <c r="D1" s="2"/>
      <c r="E1" s="2"/>
      <c r="F1" s="2"/>
      <c r="H1" s="3" t="s">
        <v>1</v>
      </c>
      <c r="M1" s="3" t="s">
        <v>1</v>
      </c>
    </row>
    <row r="2" spans="1:13" ht="15.75">
      <c r="A2" s="1" t="s">
        <v>2</v>
      </c>
      <c r="B2" s="2"/>
      <c r="C2" s="2"/>
      <c r="D2" s="2"/>
      <c r="E2" s="2"/>
      <c r="F2" s="2"/>
      <c r="H2" s="4"/>
      <c r="M2" s="4"/>
    </row>
    <row r="3" spans="1:58" ht="20.25">
      <c r="A3" s="1" t="s">
        <v>3</v>
      </c>
      <c r="B3" s="2"/>
      <c r="C3" s="2"/>
      <c r="D3" s="2"/>
      <c r="E3" s="2"/>
      <c r="F3" s="2"/>
      <c r="H3" s="5"/>
      <c r="I3" s="5" t="s">
        <v>0</v>
      </c>
      <c r="J3" s="5" t="s">
        <v>4</v>
      </c>
      <c r="K3" s="5" t="s">
        <v>5</v>
      </c>
      <c r="M3" s="61" t="s">
        <v>6</v>
      </c>
      <c r="N3" s="122"/>
      <c r="O3" s="122"/>
      <c r="P3" s="122"/>
      <c r="S3" s="61" t="s">
        <v>7</v>
      </c>
      <c r="T3" s="122"/>
      <c r="U3" s="122"/>
      <c r="V3" s="122"/>
      <c r="Y3" s="61" t="s">
        <v>8</v>
      </c>
      <c r="Z3" s="122"/>
      <c r="AA3" s="122"/>
      <c r="AB3" s="122"/>
      <c r="AC3" s="6"/>
      <c r="AE3" s="61" t="s">
        <v>9</v>
      </c>
      <c r="AF3" s="122"/>
      <c r="AG3" s="122"/>
      <c r="AH3" s="122"/>
      <c r="AJ3" s="6"/>
      <c r="AK3" s="61" t="s">
        <v>10</v>
      </c>
      <c r="AL3" s="122"/>
      <c r="AM3" s="122"/>
      <c r="AN3" s="122"/>
      <c r="AO3" s="6"/>
      <c r="AQ3" s="61" t="s">
        <v>11</v>
      </c>
      <c r="AR3" s="122"/>
      <c r="AS3" s="122"/>
      <c r="AT3" s="122"/>
      <c r="AV3" s="6"/>
      <c r="AW3" s="61" t="s">
        <v>12</v>
      </c>
      <c r="AX3" s="122"/>
      <c r="AY3" s="122"/>
      <c r="AZ3" s="122"/>
      <c r="BC3" s="61" t="s">
        <v>13</v>
      </c>
      <c r="BD3" s="122"/>
      <c r="BE3" s="122"/>
      <c r="BF3" s="122"/>
    </row>
    <row r="4" spans="1:59" ht="15.75">
      <c r="A4" s="1" t="s">
        <v>14</v>
      </c>
      <c r="B4" s="2"/>
      <c r="C4" s="2"/>
      <c r="D4" s="2"/>
      <c r="E4" s="2"/>
      <c r="F4" s="2"/>
      <c r="H4" s="7" t="s">
        <v>15</v>
      </c>
      <c r="I4" s="8" t="s">
        <v>16</v>
      </c>
      <c r="J4" s="7" t="s">
        <v>17</v>
      </c>
      <c r="K4" s="7" t="s">
        <v>18</v>
      </c>
      <c r="M4" s="9" t="s">
        <v>19</v>
      </c>
      <c r="N4" s="10" t="s">
        <v>16</v>
      </c>
      <c r="O4" s="9" t="s">
        <v>17</v>
      </c>
      <c r="P4" s="9" t="s">
        <v>18</v>
      </c>
      <c r="R4" s="11" t="s">
        <v>19</v>
      </c>
      <c r="S4" s="12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Y4" s="9" t="s">
        <v>19</v>
      </c>
      <c r="Z4" s="10" t="s">
        <v>16</v>
      </c>
      <c r="AA4" s="9" t="s">
        <v>17</v>
      </c>
      <c r="AB4" s="9" t="s">
        <v>18</v>
      </c>
      <c r="AC4" s="9"/>
      <c r="AD4" s="11" t="s">
        <v>19</v>
      </c>
      <c r="AE4" s="12" t="s">
        <v>20</v>
      </c>
      <c r="AF4" s="11" t="s">
        <v>21</v>
      </c>
      <c r="AG4" s="11" t="s">
        <v>22</v>
      </c>
      <c r="AH4" s="11" t="s">
        <v>23</v>
      </c>
      <c r="AI4" s="11" t="s">
        <v>24</v>
      </c>
      <c r="AJ4" s="9"/>
      <c r="AK4" s="9" t="s">
        <v>19</v>
      </c>
      <c r="AL4" s="10" t="s">
        <v>16</v>
      </c>
      <c r="AM4" s="9" t="s">
        <v>17</v>
      </c>
      <c r="AN4" s="9" t="s">
        <v>18</v>
      </c>
      <c r="AO4" s="9"/>
      <c r="AP4" s="11" t="s">
        <v>19</v>
      </c>
      <c r="AQ4" s="12" t="s">
        <v>20</v>
      </c>
      <c r="AR4" s="11" t="s">
        <v>21</v>
      </c>
      <c r="AS4" s="11" t="s">
        <v>22</v>
      </c>
      <c r="AT4" s="11" t="s">
        <v>23</v>
      </c>
      <c r="AU4" s="11" t="s">
        <v>24</v>
      </c>
      <c r="AV4" s="9"/>
      <c r="AX4" s="10" t="s">
        <v>16</v>
      </c>
      <c r="AY4" s="9" t="s">
        <v>17</v>
      </c>
      <c r="AZ4" s="9" t="s">
        <v>18</v>
      </c>
      <c r="BB4" s="11" t="s">
        <v>19</v>
      </c>
      <c r="BC4" s="12" t="s">
        <v>20</v>
      </c>
      <c r="BD4" s="11" t="s">
        <v>21</v>
      </c>
      <c r="BE4" s="11" t="s">
        <v>22</v>
      </c>
      <c r="BF4" s="11" t="s">
        <v>23</v>
      </c>
      <c r="BG4" s="11" t="s">
        <v>24</v>
      </c>
    </row>
    <row r="5" spans="1:59" ht="15.75">
      <c r="A5" s="1"/>
      <c r="B5" s="2"/>
      <c r="C5" s="2"/>
      <c r="D5" s="2"/>
      <c r="E5" s="2"/>
      <c r="F5" s="2"/>
      <c r="H5" s="13" t="s">
        <v>25</v>
      </c>
      <c r="I5" s="14">
        <f aca="true" t="shared" si="0" ref="I5:I36">J5+K5</f>
        <v>7932.04</v>
      </c>
      <c r="J5" s="15">
        <v>6984.9</v>
      </c>
      <c r="K5" s="15">
        <v>947.14</v>
      </c>
      <c r="M5" s="13" t="s">
        <v>25</v>
      </c>
      <c r="N5" s="16">
        <f aca="true" t="shared" si="1" ref="N5:N11">SUM(O5:P5)</f>
        <v>7932.04</v>
      </c>
      <c r="O5" s="17">
        <v>6984.9</v>
      </c>
      <c r="P5" s="17">
        <v>947.14</v>
      </c>
      <c r="Q5" s="18"/>
      <c r="R5" s="13" t="s">
        <v>25</v>
      </c>
      <c r="S5" s="16">
        <v>10000</v>
      </c>
      <c r="T5" s="17">
        <v>3750</v>
      </c>
      <c r="U5" s="17">
        <f aca="true" t="shared" si="2" ref="U5:U17">P5*0.9</f>
        <v>852.426</v>
      </c>
      <c r="V5" s="17">
        <f aca="true" t="shared" si="3" ref="V5:V17">0.25*O5</f>
        <v>1746.225</v>
      </c>
      <c r="W5" s="19">
        <f aca="true" t="shared" si="4" ref="W5:W17">SUM(S5:V5)</f>
        <v>16348.651</v>
      </c>
      <c r="X5" s="18"/>
      <c r="Y5" s="20" t="s">
        <v>26</v>
      </c>
      <c r="Z5" s="16">
        <f aca="true" t="shared" si="5" ref="Z5:Z17">SUM(AA5:AB5)</f>
        <v>7511.45</v>
      </c>
      <c r="AA5" s="17">
        <v>6955.7</v>
      </c>
      <c r="AB5" s="21">
        <v>555.75</v>
      </c>
      <c r="AC5" s="22"/>
      <c r="AD5" s="13" t="s">
        <v>25</v>
      </c>
      <c r="AE5" s="16">
        <v>10000</v>
      </c>
      <c r="AF5" s="17">
        <v>3750</v>
      </c>
      <c r="AG5" s="17">
        <f>AB5*0.9</f>
        <v>500.175</v>
      </c>
      <c r="AH5" s="17">
        <f aca="true" t="shared" si="6" ref="AH5:AH17">0.25*AA5</f>
        <v>1738.925</v>
      </c>
      <c r="AI5" s="23">
        <f aca="true" t="shared" si="7" ref="AI5:AI17">SUM(AE5:AH5)</f>
        <v>15989.099999999999</v>
      </c>
      <c r="AJ5" s="22"/>
      <c r="AK5" s="24" t="s">
        <v>27</v>
      </c>
      <c r="AL5" s="16">
        <f aca="true" t="shared" si="8" ref="AL5:AL17">SUM(AM5:AN5)</f>
        <v>9226.15</v>
      </c>
      <c r="AM5" s="25">
        <v>8209.21</v>
      </c>
      <c r="AN5" s="25">
        <v>1016.94</v>
      </c>
      <c r="AO5" s="26"/>
      <c r="AP5" s="13" t="s">
        <v>25</v>
      </c>
      <c r="AQ5" s="16">
        <v>10000</v>
      </c>
      <c r="AR5" s="17">
        <v>3750</v>
      </c>
      <c r="AS5" s="17">
        <v>1174</v>
      </c>
      <c r="AT5" s="17">
        <f aca="true" t="shared" si="9" ref="AT5:AT17">0.25*AM5</f>
        <v>2052.3025</v>
      </c>
      <c r="AU5" s="23">
        <f aca="true" t="shared" si="10" ref="AU5:AU17">SUM(AQ5:AT5)</f>
        <v>16976.302499999998</v>
      </c>
      <c r="AV5" s="26"/>
      <c r="AW5" s="23" t="s">
        <v>28</v>
      </c>
      <c r="AX5" s="16">
        <f>SUM(AY5:AZ5)</f>
        <v>39497.64</v>
      </c>
      <c r="AY5" s="27">
        <v>37582.55</v>
      </c>
      <c r="AZ5" s="27">
        <v>1915.09</v>
      </c>
      <c r="BB5" s="13" t="s">
        <v>25</v>
      </c>
      <c r="BC5" s="16">
        <v>10000</v>
      </c>
      <c r="BD5" s="17">
        <v>3750</v>
      </c>
      <c r="BE5" s="17">
        <v>1174</v>
      </c>
      <c r="BF5" s="17">
        <f aca="true" t="shared" si="11" ref="BF5:BF17">0.25*AY5</f>
        <v>9395.6375</v>
      </c>
      <c r="BG5" s="23">
        <f aca="true" t="shared" si="12" ref="BG5:BG17">SUM(BC5:BF5)</f>
        <v>24319.6375</v>
      </c>
    </row>
    <row r="6" spans="1:59" ht="15.75">
      <c r="A6" s="1"/>
      <c r="B6" s="2"/>
      <c r="C6" s="2"/>
      <c r="D6" s="2"/>
      <c r="E6" s="2"/>
      <c r="F6" s="2"/>
      <c r="H6" s="13" t="s">
        <v>29</v>
      </c>
      <c r="I6" s="14">
        <f t="shared" si="0"/>
        <v>16781.129999999997</v>
      </c>
      <c r="J6" s="15">
        <v>14933.55</v>
      </c>
      <c r="K6" s="15">
        <v>1847.58</v>
      </c>
      <c r="M6" s="13" t="s">
        <v>29</v>
      </c>
      <c r="N6" s="16">
        <f t="shared" si="1"/>
        <v>16781.129999999997</v>
      </c>
      <c r="O6" s="17">
        <v>14933.55</v>
      </c>
      <c r="P6" s="17">
        <v>1847.58</v>
      </c>
      <c r="Q6" s="18"/>
      <c r="R6" s="13" t="s">
        <v>29</v>
      </c>
      <c r="S6" s="16">
        <v>10000</v>
      </c>
      <c r="T6" s="17">
        <v>3750</v>
      </c>
      <c r="U6" s="17">
        <f t="shared" si="2"/>
        <v>1662.822</v>
      </c>
      <c r="V6" s="17">
        <f t="shared" si="3"/>
        <v>3733.3875</v>
      </c>
      <c r="W6" s="19">
        <f t="shared" si="4"/>
        <v>19146.2095</v>
      </c>
      <c r="X6" s="18"/>
      <c r="Y6" s="20" t="s">
        <v>30</v>
      </c>
      <c r="Z6" s="16">
        <f t="shared" si="5"/>
        <v>11210.490000000002</v>
      </c>
      <c r="AA6" s="28">
        <v>11279.45</v>
      </c>
      <c r="AB6" s="21">
        <v>-68.96</v>
      </c>
      <c r="AC6" s="22"/>
      <c r="AD6" s="13" t="s">
        <v>29</v>
      </c>
      <c r="AE6" s="16">
        <v>10000</v>
      </c>
      <c r="AF6" s="17">
        <v>3750</v>
      </c>
      <c r="AG6" s="17">
        <v>100</v>
      </c>
      <c r="AH6" s="17">
        <f t="shared" si="6"/>
        <v>2819.8625</v>
      </c>
      <c r="AI6" s="23">
        <f t="shared" si="7"/>
        <v>16669.8625</v>
      </c>
      <c r="AJ6" s="22"/>
      <c r="AK6" s="24" t="s">
        <v>31</v>
      </c>
      <c r="AL6" s="16">
        <f t="shared" si="8"/>
        <v>11216.78</v>
      </c>
      <c r="AM6" s="25">
        <v>7925.25</v>
      </c>
      <c r="AN6" s="25">
        <v>3291.53</v>
      </c>
      <c r="AO6" s="26"/>
      <c r="AP6" s="13" t="s">
        <v>29</v>
      </c>
      <c r="AQ6" s="16">
        <v>10000</v>
      </c>
      <c r="AR6" s="17">
        <v>3750</v>
      </c>
      <c r="AS6" s="17">
        <v>1174</v>
      </c>
      <c r="AT6" s="17">
        <f t="shared" si="9"/>
        <v>1981.3125</v>
      </c>
      <c r="AU6" s="23">
        <f t="shared" si="10"/>
        <v>16905.3125</v>
      </c>
      <c r="AV6" s="26"/>
      <c r="AW6" s="23" t="s">
        <v>32</v>
      </c>
      <c r="AX6" s="29">
        <v>13956.06</v>
      </c>
      <c r="AY6" s="27">
        <v>12383.11</v>
      </c>
      <c r="AZ6" s="27">
        <v>1572.95</v>
      </c>
      <c r="BB6" s="13" t="s">
        <v>29</v>
      </c>
      <c r="BC6" s="16">
        <v>10000</v>
      </c>
      <c r="BD6" s="17">
        <v>3750</v>
      </c>
      <c r="BE6" s="17">
        <v>1174</v>
      </c>
      <c r="BF6" s="17">
        <f t="shared" si="11"/>
        <v>3095.7775</v>
      </c>
      <c r="BG6" s="23">
        <f t="shared" si="12"/>
        <v>18019.7775</v>
      </c>
    </row>
    <row r="7" spans="1:59" ht="15.75">
      <c r="A7" s="2" t="s">
        <v>33</v>
      </c>
      <c r="B7" s="2"/>
      <c r="C7" s="2"/>
      <c r="D7" s="30" t="s">
        <v>34</v>
      </c>
      <c r="E7" s="31"/>
      <c r="F7" s="2"/>
      <c r="H7" s="20" t="s">
        <v>35</v>
      </c>
      <c r="I7" s="14">
        <f t="shared" si="0"/>
        <v>2939.9300000000003</v>
      </c>
      <c r="J7" s="32">
        <v>1868.45</v>
      </c>
      <c r="K7" s="32">
        <v>1071.48</v>
      </c>
      <c r="M7" s="20" t="s">
        <v>35</v>
      </c>
      <c r="N7" s="16">
        <f t="shared" si="1"/>
        <v>2939.9300000000003</v>
      </c>
      <c r="O7" s="17">
        <v>1868.45</v>
      </c>
      <c r="P7" s="17">
        <v>1071.48</v>
      </c>
      <c r="Q7" s="18"/>
      <c r="R7" s="20" t="s">
        <v>35</v>
      </c>
      <c r="S7" s="16">
        <v>10000</v>
      </c>
      <c r="T7" s="17">
        <v>3750</v>
      </c>
      <c r="U7" s="17">
        <f t="shared" si="2"/>
        <v>964.332</v>
      </c>
      <c r="V7" s="17">
        <f t="shared" si="3"/>
        <v>467.1125</v>
      </c>
      <c r="W7" s="19">
        <f t="shared" si="4"/>
        <v>15181.4445</v>
      </c>
      <c r="X7" s="18"/>
      <c r="Y7" s="20" t="s">
        <v>36</v>
      </c>
      <c r="Z7" s="16">
        <f t="shared" si="5"/>
        <v>25737.61</v>
      </c>
      <c r="AA7" s="17">
        <v>25631.14</v>
      </c>
      <c r="AB7" s="21">
        <v>106.47</v>
      </c>
      <c r="AC7" s="22"/>
      <c r="AD7" s="20" t="s">
        <v>35</v>
      </c>
      <c r="AE7" s="16">
        <v>10000</v>
      </c>
      <c r="AF7" s="17">
        <v>3750</v>
      </c>
      <c r="AG7" s="17">
        <f aca="true" t="shared" si="13" ref="AG7:AG17">AB7*0.9</f>
        <v>95.82300000000001</v>
      </c>
      <c r="AH7" s="17">
        <f t="shared" si="6"/>
        <v>6407.785</v>
      </c>
      <c r="AI7" s="23">
        <f t="shared" si="7"/>
        <v>20253.608</v>
      </c>
      <c r="AJ7" s="22"/>
      <c r="AK7" s="24" t="s">
        <v>37</v>
      </c>
      <c r="AL7" s="16">
        <f t="shared" si="8"/>
        <v>20688.91</v>
      </c>
      <c r="AM7" s="25">
        <v>20132.09</v>
      </c>
      <c r="AN7" s="25">
        <v>556.82</v>
      </c>
      <c r="AO7" s="26"/>
      <c r="AP7" s="20" t="s">
        <v>35</v>
      </c>
      <c r="AQ7" s="16">
        <v>10000</v>
      </c>
      <c r="AR7" s="17">
        <v>3750</v>
      </c>
      <c r="AS7" s="17">
        <v>1174</v>
      </c>
      <c r="AT7" s="17">
        <f t="shared" si="9"/>
        <v>5033.0225</v>
      </c>
      <c r="AU7" s="23">
        <f t="shared" si="10"/>
        <v>19957.0225</v>
      </c>
      <c r="AV7" s="26"/>
      <c r="AW7" s="23" t="s">
        <v>38</v>
      </c>
      <c r="AX7" s="29">
        <v>18745.25</v>
      </c>
      <c r="AY7" s="27">
        <v>16537.25</v>
      </c>
      <c r="AZ7" s="27">
        <v>2208</v>
      </c>
      <c r="BB7" s="20" t="s">
        <v>35</v>
      </c>
      <c r="BC7" s="16">
        <v>10000</v>
      </c>
      <c r="BD7" s="17">
        <v>3750</v>
      </c>
      <c r="BE7" s="17">
        <v>1174</v>
      </c>
      <c r="BF7" s="17">
        <f t="shared" si="11"/>
        <v>4134.3125</v>
      </c>
      <c r="BG7" s="23">
        <f t="shared" si="12"/>
        <v>19058.3125</v>
      </c>
    </row>
    <row r="8" spans="1:59" ht="15.75">
      <c r="A8" s="1" t="s">
        <v>0</v>
      </c>
      <c r="B8" s="2"/>
      <c r="C8" s="2"/>
      <c r="D8" s="33" t="s">
        <v>39</v>
      </c>
      <c r="E8" s="34"/>
      <c r="F8" s="2"/>
      <c r="H8" s="20" t="s">
        <v>40</v>
      </c>
      <c r="I8" s="14">
        <f t="shared" si="0"/>
        <v>3368.79</v>
      </c>
      <c r="J8" s="35">
        <v>1227.35</v>
      </c>
      <c r="K8" s="35">
        <v>2141.44</v>
      </c>
      <c r="M8" s="20" t="s">
        <v>40</v>
      </c>
      <c r="N8" s="16">
        <f t="shared" si="1"/>
        <v>3368.79</v>
      </c>
      <c r="O8" s="28">
        <v>1227.35</v>
      </c>
      <c r="P8" s="28">
        <v>2141.44</v>
      </c>
      <c r="Q8" s="18"/>
      <c r="R8" s="20" t="s">
        <v>40</v>
      </c>
      <c r="S8" s="16">
        <v>10000</v>
      </c>
      <c r="T8" s="17">
        <v>3750</v>
      </c>
      <c r="U8" s="17">
        <f t="shared" si="2"/>
        <v>1927.296</v>
      </c>
      <c r="V8" s="17">
        <f t="shared" si="3"/>
        <v>306.8375</v>
      </c>
      <c r="W8" s="19">
        <f t="shared" si="4"/>
        <v>15984.1335</v>
      </c>
      <c r="X8" s="18"/>
      <c r="Y8" s="20" t="s">
        <v>41</v>
      </c>
      <c r="Z8" s="16">
        <f t="shared" si="5"/>
        <v>12865.7</v>
      </c>
      <c r="AA8" s="17">
        <v>11555.33</v>
      </c>
      <c r="AB8" s="21">
        <v>1310.37</v>
      </c>
      <c r="AC8" s="22"/>
      <c r="AD8" s="20" t="s">
        <v>40</v>
      </c>
      <c r="AE8" s="16">
        <v>10000</v>
      </c>
      <c r="AF8" s="17">
        <v>3750</v>
      </c>
      <c r="AG8" s="17">
        <f t="shared" si="13"/>
        <v>1179.3329999999999</v>
      </c>
      <c r="AH8" s="17">
        <f t="shared" si="6"/>
        <v>2888.8325</v>
      </c>
      <c r="AI8" s="23">
        <f t="shared" si="7"/>
        <v>17818.1655</v>
      </c>
      <c r="AJ8" s="22"/>
      <c r="AK8" s="24" t="s">
        <v>42</v>
      </c>
      <c r="AL8" s="16">
        <f t="shared" si="8"/>
        <v>26042.36</v>
      </c>
      <c r="AM8" s="25">
        <v>23862.15</v>
      </c>
      <c r="AN8" s="25">
        <v>2180.21</v>
      </c>
      <c r="AO8" s="26"/>
      <c r="AP8" s="20" t="s">
        <v>40</v>
      </c>
      <c r="AQ8" s="16">
        <v>10000</v>
      </c>
      <c r="AR8" s="17">
        <v>3750</v>
      </c>
      <c r="AS8" s="17">
        <v>1174</v>
      </c>
      <c r="AT8" s="17">
        <f t="shared" si="9"/>
        <v>5965.5375</v>
      </c>
      <c r="AU8" s="23">
        <f t="shared" si="10"/>
        <v>20889.5375</v>
      </c>
      <c r="AV8" s="26"/>
      <c r="AW8" s="23" t="s">
        <v>43</v>
      </c>
      <c r="AX8" s="29">
        <v>24862.7</v>
      </c>
      <c r="AY8" s="27">
        <v>24057.05</v>
      </c>
      <c r="AZ8" s="27">
        <v>805.65</v>
      </c>
      <c r="BB8" s="20" t="s">
        <v>40</v>
      </c>
      <c r="BC8" s="16">
        <v>10000</v>
      </c>
      <c r="BD8" s="17">
        <v>3750</v>
      </c>
      <c r="BE8" s="17">
        <v>1174</v>
      </c>
      <c r="BF8" s="17">
        <f t="shared" si="11"/>
        <v>6014.2625</v>
      </c>
      <c r="BG8" s="23">
        <f t="shared" si="12"/>
        <v>20938.2625</v>
      </c>
    </row>
    <row r="9" spans="1:59" ht="15">
      <c r="A9" s="2"/>
      <c r="B9" s="2"/>
      <c r="C9" s="2"/>
      <c r="D9" s="117" t="s">
        <v>44</v>
      </c>
      <c r="E9" s="116"/>
      <c r="F9" s="116"/>
      <c r="H9" s="20" t="s">
        <v>45</v>
      </c>
      <c r="I9" s="14">
        <f t="shared" si="0"/>
        <v>1339.6799999999998</v>
      </c>
      <c r="J9" s="32">
        <v>760</v>
      </c>
      <c r="K9" s="32">
        <v>579.68</v>
      </c>
      <c r="M9" s="20" t="s">
        <v>45</v>
      </c>
      <c r="N9" s="16">
        <f t="shared" si="1"/>
        <v>1339.6799999999998</v>
      </c>
      <c r="O9" s="17">
        <v>760</v>
      </c>
      <c r="P9" s="17">
        <v>579.68</v>
      </c>
      <c r="Q9" s="18"/>
      <c r="R9" s="20" t="s">
        <v>45</v>
      </c>
      <c r="S9" s="16">
        <v>10000</v>
      </c>
      <c r="T9" s="17">
        <v>3750</v>
      </c>
      <c r="U9" s="17">
        <f t="shared" si="2"/>
        <v>521.712</v>
      </c>
      <c r="V9" s="17">
        <f t="shared" si="3"/>
        <v>190</v>
      </c>
      <c r="W9" s="19">
        <f t="shared" si="4"/>
        <v>14461.712</v>
      </c>
      <c r="X9" s="18"/>
      <c r="Y9" s="20" t="s">
        <v>46</v>
      </c>
      <c r="Z9" s="16">
        <f t="shared" si="5"/>
        <v>16057.54</v>
      </c>
      <c r="AA9" s="28">
        <v>15340.28</v>
      </c>
      <c r="AB9" s="21">
        <v>717.26</v>
      </c>
      <c r="AC9" s="22"/>
      <c r="AD9" s="20" t="s">
        <v>45</v>
      </c>
      <c r="AE9" s="16">
        <v>10000</v>
      </c>
      <c r="AF9" s="17">
        <v>3750</v>
      </c>
      <c r="AG9" s="17">
        <f t="shared" si="13"/>
        <v>645.534</v>
      </c>
      <c r="AH9" s="17">
        <f t="shared" si="6"/>
        <v>3835.07</v>
      </c>
      <c r="AI9" s="23">
        <f t="shared" si="7"/>
        <v>18230.604</v>
      </c>
      <c r="AJ9" s="22"/>
      <c r="AK9" s="37" t="s">
        <v>47</v>
      </c>
      <c r="AL9" s="16">
        <f t="shared" si="8"/>
        <v>14336.76</v>
      </c>
      <c r="AM9" s="37">
        <v>10580.5</v>
      </c>
      <c r="AN9" s="37">
        <v>3756.26</v>
      </c>
      <c r="AO9" s="38"/>
      <c r="AP9" s="20" t="s">
        <v>45</v>
      </c>
      <c r="AQ9" s="16">
        <v>10000</v>
      </c>
      <c r="AR9" s="17">
        <v>3750</v>
      </c>
      <c r="AS9" s="17">
        <v>1174</v>
      </c>
      <c r="AT9" s="17">
        <f t="shared" si="9"/>
        <v>2645.125</v>
      </c>
      <c r="AU9" s="23">
        <f t="shared" si="10"/>
        <v>17569.125</v>
      </c>
      <c r="AV9" s="38"/>
      <c r="AW9" s="23" t="s">
        <v>48</v>
      </c>
      <c r="AX9" s="29">
        <v>13564.34</v>
      </c>
      <c r="AY9" s="27">
        <v>12081.65</v>
      </c>
      <c r="AZ9" s="27">
        <v>1482.69</v>
      </c>
      <c r="BB9" s="20" t="s">
        <v>45</v>
      </c>
      <c r="BC9" s="16">
        <v>10000</v>
      </c>
      <c r="BD9" s="17">
        <v>3750</v>
      </c>
      <c r="BE9" s="17">
        <v>1174</v>
      </c>
      <c r="BF9" s="17">
        <f t="shared" si="11"/>
        <v>3020.4125</v>
      </c>
      <c r="BG9" s="23">
        <f t="shared" si="12"/>
        <v>17944.4125</v>
      </c>
    </row>
    <row r="10" spans="1:59" ht="15">
      <c r="A10" s="2"/>
      <c r="B10" s="2" t="s">
        <v>0</v>
      </c>
      <c r="C10" s="2"/>
      <c r="D10" s="36" t="s">
        <v>49</v>
      </c>
      <c r="E10" s="39"/>
      <c r="F10" s="39"/>
      <c r="H10" s="20" t="s">
        <v>50</v>
      </c>
      <c r="I10" s="14">
        <f t="shared" si="0"/>
        <v>1247.8</v>
      </c>
      <c r="J10" s="35">
        <v>48</v>
      </c>
      <c r="K10" s="35">
        <v>1199.8</v>
      </c>
      <c r="M10" s="20" t="s">
        <v>50</v>
      </c>
      <c r="N10" s="16">
        <f t="shared" si="1"/>
        <v>1247.8</v>
      </c>
      <c r="O10" s="28">
        <v>48</v>
      </c>
      <c r="P10" s="28">
        <v>1199.8</v>
      </c>
      <c r="Q10" s="18"/>
      <c r="R10" s="20" t="s">
        <v>50</v>
      </c>
      <c r="S10" s="16">
        <v>10000</v>
      </c>
      <c r="T10" s="17">
        <v>3750</v>
      </c>
      <c r="U10" s="17">
        <f t="shared" si="2"/>
        <v>1079.82</v>
      </c>
      <c r="V10" s="17">
        <f t="shared" si="3"/>
        <v>12</v>
      </c>
      <c r="W10" s="19">
        <f t="shared" si="4"/>
        <v>14841.82</v>
      </c>
      <c r="X10" s="18"/>
      <c r="Y10" s="24" t="s">
        <v>51</v>
      </c>
      <c r="Z10" s="16">
        <f t="shared" si="5"/>
        <v>46148.84</v>
      </c>
      <c r="AA10" s="28">
        <v>45692.45</v>
      </c>
      <c r="AB10" s="40">
        <v>456.39</v>
      </c>
      <c r="AC10" s="41"/>
      <c r="AD10" s="20" t="s">
        <v>50</v>
      </c>
      <c r="AE10" s="16">
        <v>10000</v>
      </c>
      <c r="AF10" s="17">
        <v>3750</v>
      </c>
      <c r="AG10" s="17">
        <f t="shared" si="13"/>
        <v>410.751</v>
      </c>
      <c r="AH10" s="17">
        <f t="shared" si="6"/>
        <v>11423.1125</v>
      </c>
      <c r="AI10" s="23">
        <f t="shared" si="7"/>
        <v>25583.8635</v>
      </c>
      <c r="AJ10" s="41"/>
      <c r="AK10" s="37" t="s">
        <v>52</v>
      </c>
      <c r="AL10" s="16">
        <f t="shared" si="8"/>
        <v>25951.86</v>
      </c>
      <c r="AM10" s="37">
        <v>22349.55</v>
      </c>
      <c r="AN10" s="37">
        <v>3602.31</v>
      </c>
      <c r="AO10" s="38"/>
      <c r="AP10" s="20" t="s">
        <v>50</v>
      </c>
      <c r="AQ10" s="16">
        <v>10000</v>
      </c>
      <c r="AR10" s="17">
        <v>3750</v>
      </c>
      <c r="AS10" s="17">
        <v>1174</v>
      </c>
      <c r="AT10" s="17">
        <f t="shared" si="9"/>
        <v>5587.3875</v>
      </c>
      <c r="AU10" s="23">
        <f t="shared" si="10"/>
        <v>20511.3875</v>
      </c>
      <c r="AV10" s="38"/>
      <c r="AW10" s="23" t="s">
        <v>53</v>
      </c>
      <c r="AX10" s="29">
        <v>15192.94</v>
      </c>
      <c r="AY10" s="27">
        <v>14646.1</v>
      </c>
      <c r="AZ10" s="27">
        <v>546.84</v>
      </c>
      <c r="BB10" s="20" t="s">
        <v>50</v>
      </c>
      <c r="BC10" s="16">
        <v>10000</v>
      </c>
      <c r="BD10" s="17">
        <v>3750</v>
      </c>
      <c r="BE10" s="17">
        <v>1174</v>
      </c>
      <c r="BF10" s="17">
        <f t="shared" si="11"/>
        <v>3661.525</v>
      </c>
      <c r="BG10" s="23">
        <f t="shared" si="12"/>
        <v>18585.525</v>
      </c>
    </row>
    <row r="11" spans="1:59" ht="15">
      <c r="A11" s="2"/>
      <c r="B11" s="2" t="s">
        <v>0</v>
      </c>
      <c r="C11" s="2"/>
      <c r="D11" s="117" t="s">
        <v>54</v>
      </c>
      <c r="E11" s="116"/>
      <c r="F11" s="116"/>
      <c r="H11" s="20" t="s">
        <v>55</v>
      </c>
      <c r="I11" s="14">
        <f t="shared" si="0"/>
        <v>277.2</v>
      </c>
      <c r="J11" s="32">
        <v>16</v>
      </c>
      <c r="K11" s="35" t="s">
        <v>56</v>
      </c>
      <c r="M11" s="20" t="s">
        <v>55</v>
      </c>
      <c r="N11" s="16">
        <f t="shared" si="1"/>
        <v>16</v>
      </c>
      <c r="O11" s="17">
        <v>16</v>
      </c>
      <c r="P11" s="28" t="s">
        <v>56</v>
      </c>
      <c r="Q11" s="18"/>
      <c r="R11" s="20" t="s">
        <v>55</v>
      </c>
      <c r="S11" s="16">
        <v>10000</v>
      </c>
      <c r="T11" s="17">
        <v>3750</v>
      </c>
      <c r="U11" s="17">
        <f t="shared" si="2"/>
        <v>235.07999999999998</v>
      </c>
      <c r="V11" s="17">
        <f t="shared" si="3"/>
        <v>4</v>
      </c>
      <c r="W11" s="19">
        <f t="shared" si="4"/>
        <v>13989.08</v>
      </c>
      <c r="X11" s="18"/>
      <c r="Y11" s="24" t="s">
        <v>57</v>
      </c>
      <c r="Z11" s="16">
        <f t="shared" si="5"/>
        <v>20132.31</v>
      </c>
      <c r="AA11" s="28">
        <v>18994.93</v>
      </c>
      <c r="AB11" s="40">
        <v>1137.38</v>
      </c>
      <c r="AC11" s="41"/>
      <c r="AD11" s="20" t="s">
        <v>55</v>
      </c>
      <c r="AE11" s="16">
        <v>10000</v>
      </c>
      <c r="AF11" s="17">
        <v>3750</v>
      </c>
      <c r="AG11" s="17">
        <f t="shared" si="13"/>
        <v>1023.6420000000002</v>
      </c>
      <c r="AH11" s="17">
        <f t="shared" si="6"/>
        <v>4748.7325</v>
      </c>
      <c r="AI11" s="23">
        <f t="shared" si="7"/>
        <v>19522.374499999998</v>
      </c>
      <c r="AJ11" s="41"/>
      <c r="AK11" s="37" t="s">
        <v>58</v>
      </c>
      <c r="AL11" s="16">
        <f t="shared" si="8"/>
        <v>18257.65</v>
      </c>
      <c r="AM11" s="37">
        <v>14328.85</v>
      </c>
      <c r="AN11" s="37">
        <v>3928.8</v>
      </c>
      <c r="AO11" s="38"/>
      <c r="AP11" s="20" t="s">
        <v>55</v>
      </c>
      <c r="AQ11" s="16">
        <v>10000</v>
      </c>
      <c r="AR11" s="17">
        <v>3750</v>
      </c>
      <c r="AS11" s="17">
        <v>1174</v>
      </c>
      <c r="AT11" s="17">
        <f t="shared" si="9"/>
        <v>3582.2125</v>
      </c>
      <c r="AU11" s="23">
        <f t="shared" si="10"/>
        <v>18506.2125</v>
      </c>
      <c r="AV11" s="38"/>
      <c r="AW11" s="23" t="s">
        <v>59</v>
      </c>
      <c r="AX11" s="29">
        <v>25946.12</v>
      </c>
      <c r="AY11" s="27">
        <v>21819.45</v>
      </c>
      <c r="AZ11" s="27">
        <v>2526.67</v>
      </c>
      <c r="BB11" s="20" t="s">
        <v>55</v>
      </c>
      <c r="BC11" s="16">
        <v>10000</v>
      </c>
      <c r="BD11" s="17">
        <v>3750</v>
      </c>
      <c r="BE11" s="17">
        <v>1174</v>
      </c>
      <c r="BF11" s="17">
        <f t="shared" si="11"/>
        <v>5454.8625</v>
      </c>
      <c r="BG11" s="23">
        <f t="shared" si="12"/>
        <v>20378.8625</v>
      </c>
    </row>
    <row r="12" spans="1:59" ht="15">
      <c r="A12" s="2"/>
      <c r="B12" s="2" t="s">
        <v>0</v>
      </c>
      <c r="C12" s="2"/>
      <c r="D12" s="42" t="s">
        <v>60</v>
      </c>
      <c r="E12" s="39"/>
      <c r="F12" s="39"/>
      <c r="H12" s="20" t="s">
        <v>61</v>
      </c>
      <c r="I12" s="14">
        <f t="shared" si="0"/>
        <v>6306.22</v>
      </c>
      <c r="J12" s="35" t="s">
        <v>62</v>
      </c>
      <c r="K12" s="35" t="s">
        <v>63</v>
      </c>
      <c r="M12" s="20" t="s">
        <v>61</v>
      </c>
      <c r="N12" s="43">
        <f>O12+P12</f>
        <v>6306.22</v>
      </c>
      <c r="O12" s="28" t="s">
        <v>62</v>
      </c>
      <c r="P12" s="28" t="s">
        <v>63</v>
      </c>
      <c r="Q12" s="18"/>
      <c r="R12" s="20" t="s">
        <v>61</v>
      </c>
      <c r="S12" s="16">
        <v>10000</v>
      </c>
      <c r="T12" s="17">
        <v>3750</v>
      </c>
      <c r="U12" s="17">
        <f t="shared" si="2"/>
        <v>945.648</v>
      </c>
      <c r="V12" s="17">
        <f t="shared" si="3"/>
        <v>1313.875</v>
      </c>
      <c r="W12" s="19">
        <f t="shared" si="4"/>
        <v>16009.523</v>
      </c>
      <c r="X12" s="18"/>
      <c r="Y12" s="24" t="s">
        <v>64</v>
      </c>
      <c r="Z12" s="16">
        <f t="shared" si="5"/>
        <v>38377.79</v>
      </c>
      <c r="AA12" s="28">
        <v>37140.25</v>
      </c>
      <c r="AB12" s="40">
        <v>1237.54</v>
      </c>
      <c r="AC12" s="41"/>
      <c r="AD12" s="20" t="s">
        <v>61</v>
      </c>
      <c r="AE12" s="16">
        <v>10000</v>
      </c>
      <c r="AF12" s="17">
        <v>3750</v>
      </c>
      <c r="AG12" s="17">
        <f t="shared" si="13"/>
        <v>1113.786</v>
      </c>
      <c r="AH12" s="17">
        <f t="shared" si="6"/>
        <v>9285.0625</v>
      </c>
      <c r="AI12" s="23">
        <f t="shared" si="7"/>
        <v>24148.8485</v>
      </c>
      <c r="AJ12" s="41"/>
      <c r="AK12" s="37" t="s">
        <v>65</v>
      </c>
      <c r="AL12" s="16">
        <f t="shared" si="8"/>
        <v>23033.93</v>
      </c>
      <c r="AM12" s="37">
        <v>19876.6</v>
      </c>
      <c r="AN12" s="37">
        <v>3157.33</v>
      </c>
      <c r="AO12" s="38"/>
      <c r="AP12" s="20" t="s">
        <v>61</v>
      </c>
      <c r="AQ12" s="16">
        <v>10000</v>
      </c>
      <c r="AR12" s="17">
        <v>3750</v>
      </c>
      <c r="AS12" s="17">
        <v>1174</v>
      </c>
      <c r="AT12" s="17">
        <f t="shared" si="9"/>
        <v>4969.15</v>
      </c>
      <c r="AU12" s="23">
        <f t="shared" si="10"/>
        <v>19893.15</v>
      </c>
      <c r="AV12" s="38"/>
      <c r="AW12" s="23" t="s">
        <v>66</v>
      </c>
      <c r="AX12" s="29">
        <v>10611.55</v>
      </c>
      <c r="AY12" s="27">
        <v>9003.78</v>
      </c>
      <c r="AZ12" s="27">
        <v>1607.77</v>
      </c>
      <c r="BB12" s="20" t="s">
        <v>61</v>
      </c>
      <c r="BC12" s="16">
        <v>10000</v>
      </c>
      <c r="BD12" s="17">
        <v>3750</v>
      </c>
      <c r="BE12" s="17">
        <v>1174</v>
      </c>
      <c r="BF12" s="17">
        <f t="shared" si="11"/>
        <v>2250.945</v>
      </c>
      <c r="BG12" s="23">
        <f t="shared" si="12"/>
        <v>17174.945</v>
      </c>
    </row>
    <row r="13" spans="1:59" ht="15">
      <c r="A13" s="2"/>
      <c r="B13" s="2" t="s">
        <v>0</v>
      </c>
      <c r="C13" s="2"/>
      <c r="D13" s="117" t="s">
        <v>67</v>
      </c>
      <c r="E13" s="118"/>
      <c r="F13" s="39"/>
      <c r="H13" s="20" t="s">
        <v>68</v>
      </c>
      <c r="I13" s="14">
        <f t="shared" si="0"/>
        <v>1930.27</v>
      </c>
      <c r="J13" s="32">
        <v>1417.7</v>
      </c>
      <c r="K13" s="32">
        <v>512.57</v>
      </c>
      <c r="M13" s="20" t="s">
        <v>68</v>
      </c>
      <c r="N13" s="16">
        <f>SUM(O13:P13)</f>
        <v>1930.27</v>
      </c>
      <c r="O13" s="17">
        <v>1417.7</v>
      </c>
      <c r="P13" s="17">
        <v>512.57</v>
      </c>
      <c r="Q13" s="18"/>
      <c r="R13" s="20" t="s">
        <v>68</v>
      </c>
      <c r="S13" s="16">
        <v>10000</v>
      </c>
      <c r="T13" s="17">
        <v>3750</v>
      </c>
      <c r="U13" s="17">
        <f t="shared" si="2"/>
        <v>461.31300000000005</v>
      </c>
      <c r="V13" s="17">
        <f t="shared" si="3"/>
        <v>354.425</v>
      </c>
      <c r="W13" s="19">
        <f t="shared" si="4"/>
        <v>14565.738</v>
      </c>
      <c r="X13" s="18"/>
      <c r="Y13" s="24" t="s">
        <v>69</v>
      </c>
      <c r="Z13" s="16">
        <f t="shared" si="5"/>
        <v>8751.7</v>
      </c>
      <c r="AA13" s="28">
        <v>8013.5</v>
      </c>
      <c r="AB13" s="40">
        <v>738.2</v>
      </c>
      <c r="AC13" s="41"/>
      <c r="AD13" s="20" t="s">
        <v>68</v>
      </c>
      <c r="AE13" s="16">
        <v>10000</v>
      </c>
      <c r="AF13" s="17">
        <v>3750</v>
      </c>
      <c r="AG13" s="17">
        <f t="shared" si="13"/>
        <v>664.3800000000001</v>
      </c>
      <c r="AH13" s="17">
        <f t="shared" si="6"/>
        <v>2003.375</v>
      </c>
      <c r="AI13" s="23">
        <f t="shared" si="7"/>
        <v>16417.755</v>
      </c>
      <c r="AJ13" s="41"/>
      <c r="AK13" s="37" t="s">
        <v>70</v>
      </c>
      <c r="AL13" s="16">
        <f t="shared" si="8"/>
        <v>10586.5</v>
      </c>
      <c r="AM13" s="37">
        <v>8482.5</v>
      </c>
      <c r="AN13" s="37">
        <v>2104</v>
      </c>
      <c r="AO13" s="38"/>
      <c r="AP13" s="20" t="s">
        <v>68</v>
      </c>
      <c r="AQ13" s="16">
        <v>10000</v>
      </c>
      <c r="AR13" s="17">
        <v>3750</v>
      </c>
      <c r="AS13" s="17">
        <v>1174</v>
      </c>
      <c r="AT13" s="17">
        <f t="shared" si="9"/>
        <v>2120.625</v>
      </c>
      <c r="AU13" s="23">
        <f t="shared" si="10"/>
        <v>17044.625</v>
      </c>
      <c r="AV13" s="38"/>
      <c r="AW13" s="23" t="s">
        <v>71</v>
      </c>
      <c r="AX13" s="29">
        <v>31053.16</v>
      </c>
      <c r="AY13" s="27">
        <v>28586</v>
      </c>
      <c r="AZ13" s="27">
        <v>2386.16</v>
      </c>
      <c r="BB13" s="20" t="s">
        <v>68</v>
      </c>
      <c r="BC13" s="16">
        <v>10000</v>
      </c>
      <c r="BD13" s="17">
        <v>3750</v>
      </c>
      <c r="BE13" s="17">
        <v>1174</v>
      </c>
      <c r="BF13" s="17">
        <f t="shared" si="11"/>
        <v>7146.5</v>
      </c>
      <c r="BG13" s="23">
        <f t="shared" si="12"/>
        <v>22070.5</v>
      </c>
    </row>
    <row r="14" spans="1:59" ht="15">
      <c r="A14" s="2"/>
      <c r="B14" s="2"/>
      <c r="C14" s="2"/>
      <c r="D14" s="42" t="s">
        <v>72</v>
      </c>
      <c r="E14" s="39"/>
      <c r="F14" s="39"/>
      <c r="H14" s="20" t="s">
        <v>73</v>
      </c>
      <c r="I14" s="14">
        <f t="shared" si="0"/>
        <v>9328.66</v>
      </c>
      <c r="J14" s="32">
        <v>555.8</v>
      </c>
      <c r="K14" s="32">
        <v>8772.86</v>
      </c>
      <c r="M14" s="20" t="s">
        <v>73</v>
      </c>
      <c r="N14" s="16">
        <f>SUM(O14:P14)</f>
        <v>9328.66</v>
      </c>
      <c r="O14" s="17">
        <v>555.8</v>
      </c>
      <c r="P14" s="17">
        <v>8772.86</v>
      </c>
      <c r="Q14" s="18"/>
      <c r="R14" s="20" t="s">
        <v>73</v>
      </c>
      <c r="S14" s="16">
        <v>10000</v>
      </c>
      <c r="T14" s="17">
        <v>3750</v>
      </c>
      <c r="U14" s="17">
        <f t="shared" si="2"/>
        <v>7895.5740000000005</v>
      </c>
      <c r="V14" s="17">
        <f t="shared" si="3"/>
        <v>138.95</v>
      </c>
      <c r="W14" s="19">
        <f t="shared" si="4"/>
        <v>21784.524</v>
      </c>
      <c r="X14" s="18"/>
      <c r="Y14" s="24" t="s">
        <v>74</v>
      </c>
      <c r="Z14" s="16">
        <f t="shared" si="5"/>
        <v>14784.85</v>
      </c>
      <c r="AA14" s="28">
        <v>13414.41</v>
      </c>
      <c r="AB14" s="40">
        <v>1370.44</v>
      </c>
      <c r="AC14" s="41"/>
      <c r="AD14" s="20" t="s">
        <v>73</v>
      </c>
      <c r="AE14" s="16">
        <v>10000</v>
      </c>
      <c r="AF14" s="17">
        <v>3750</v>
      </c>
      <c r="AG14" s="17">
        <f t="shared" si="13"/>
        <v>1233.3960000000002</v>
      </c>
      <c r="AH14" s="17">
        <f t="shared" si="6"/>
        <v>3353.6025</v>
      </c>
      <c r="AI14" s="23">
        <f t="shared" si="7"/>
        <v>18336.9985</v>
      </c>
      <c r="AJ14" s="41"/>
      <c r="AK14" s="37" t="s">
        <v>75</v>
      </c>
      <c r="AL14" s="16">
        <f t="shared" si="8"/>
        <v>14976.300000000001</v>
      </c>
      <c r="AM14" s="37">
        <v>12305.45</v>
      </c>
      <c r="AN14" s="37">
        <v>2670.85</v>
      </c>
      <c r="AO14" s="38"/>
      <c r="AP14" s="20" t="s">
        <v>73</v>
      </c>
      <c r="AQ14" s="16">
        <v>10000</v>
      </c>
      <c r="AR14" s="17">
        <v>3750</v>
      </c>
      <c r="AS14" s="17">
        <v>1174</v>
      </c>
      <c r="AT14" s="17">
        <f t="shared" si="9"/>
        <v>3076.3625</v>
      </c>
      <c r="AU14" s="23">
        <f t="shared" si="10"/>
        <v>18000.3625</v>
      </c>
      <c r="AV14" s="38"/>
      <c r="AW14" s="23" t="s">
        <v>76</v>
      </c>
      <c r="AX14" s="29">
        <v>20910.41</v>
      </c>
      <c r="AY14" s="27">
        <v>20237.25</v>
      </c>
      <c r="AZ14" s="27">
        <v>673.16</v>
      </c>
      <c r="BB14" s="20" t="s">
        <v>73</v>
      </c>
      <c r="BC14" s="16">
        <v>10000</v>
      </c>
      <c r="BD14" s="17">
        <v>3750</v>
      </c>
      <c r="BE14" s="17">
        <v>1174</v>
      </c>
      <c r="BF14" s="17">
        <f t="shared" si="11"/>
        <v>5059.3125</v>
      </c>
      <c r="BG14" s="23">
        <f t="shared" si="12"/>
        <v>19983.3125</v>
      </c>
    </row>
    <row r="15" spans="1:59" ht="15.75">
      <c r="A15" s="1" t="s">
        <v>77</v>
      </c>
      <c r="B15" s="2"/>
      <c r="C15" s="2"/>
      <c r="D15" s="2"/>
      <c r="E15" s="2"/>
      <c r="F15" s="2"/>
      <c r="H15" s="20" t="s">
        <v>78</v>
      </c>
      <c r="I15" s="14">
        <f t="shared" si="0"/>
        <v>19376.300000000003</v>
      </c>
      <c r="J15" s="32">
        <v>18177.9</v>
      </c>
      <c r="K15" s="35">
        <v>1198.4</v>
      </c>
      <c r="M15" s="20" t="s">
        <v>78</v>
      </c>
      <c r="N15" s="16">
        <f>SUM(O15:P15)</f>
        <v>19376.300000000003</v>
      </c>
      <c r="O15" s="17">
        <v>18177.9</v>
      </c>
      <c r="P15" s="28">
        <v>1198.4</v>
      </c>
      <c r="Q15" s="18"/>
      <c r="R15" s="20" t="s">
        <v>78</v>
      </c>
      <c r="S15" s="16">
        <v>10000</v>
      </c>
      <c r="T15" s="17">
        <v>3750</v>
      </c>
      <c r="U15" s="17">
        <f t="shared" si="2"/>
        <v>1078.5600000000002</v>
      </c>
      <c r="V15" s="17">
        <f t="shared" si="3"/>
        <v>4544.475</v>
      </c>
      <c r="W15" s="19">
        <f t="shared" si="4"/>
        <v>19373.035</v>
      </c>
      <c r="X15" s="18"/>
      <c r="Y15" s="24" t="s">
        <v>79</v>
      </c>
      <c r="Z15" s="16">
        <f t="shared" si="5"/>
        <v>9190.94</v>
      </c>
      <c r="AA15" s="28">
        <v>8129.3</v>
      </c>
      <c r="AB15" s="40">
        <v>1061.64</v>
      </c>
      <c r="AC15" s="41"/>
      <c r="AD15" s="20" t="s">
        <v>78</v>
      </c>
      <c r="AE15" s="16">
        <v>10000</v>
      </c>
      <c r="AF15" s="17">
        <v>3750</v>
      </c>
      <c r="AG15" s="17">
        <f t="shared" si="13"/>
        <v>955.4760000000001</v>
      </c>
      <c r="AH15" s="17">
        <f t="shared" si="6"/>
        <v>2032.325</v>
      </c>
      <c r="AI15" s="23">
        <f t="shared" si="7"/>
        <v>16737.801</v>
      </c>
      <c r="AJ15" s="41"/>
      <c r="AK15" s="37" t="s">
        <v>80</v>
      </c>
      <c r="AL15" s="16">
        <f t="shared" si="8"/>
        <v>18616.1</v>
      </c>
      <c r="AM15" s="37">
        <v>16959.5</v>
      </c>
      <c r="AN15" s="37">
        <v>1656.6</v>
      </c>
      <c r="AO15" s="38"/>
      <c r="AP15" s="20" t="s">
        <v>78</v>
      </c>
      <c r="AQ15" s="16">
        <v>10000</v>
      </c>
      <c r="AR15" s="17">
        <v>3750</v>
      </c>
      <c r="AS15" s="17">
        <v>1174</v>
      </c>
      <c r="AT15" s="17">
        <f t="shared" si="9"/>
        <v>4239.875</v>
      </c>
      <c r="AU15" s="23">
        <f t="shared" si="10"/>
        <v>19163.875</v>
      </c>
      <c r="AV15" s="38"/>
      <c r="AW15" s="23" t="s">
        <v>81</v>
      </c>
      <c r="AX15" s="29">
        <v>14230.96</v>
      </c>
      <c r="AY15" s="27">
        <v>13050.75</v>
      </c>
      <c r="AZ15" s="27">
        <v>1180.21</v>
      </c>
      <c r="BB15" s="20" t="s">
        <v>78</v>
      </c>
      <c r="BC15" s="16">
        <v>10000</v>
      </c>
      <c r="BD15" s="17">
        <v>3750</v>
      </c>
      <c r="BE15" s="17">
        <v>1174</v>
      </c>
      <c r="BF15" s="17">
        <f t="shared" si="11"/>
        <v>3262.6875</v>
      </c>
      <c r="BG15" s="23">
        <f t="shared" si="12"/>
        <v>18186.6875</v>
      </c>
    </row>
    <row r="16" spans="1:59" ht="15.75">
      <c r="A16" s="1" t="s">
        <v>82</v>
      </c>
      <c r="B16" s="2"/>
      <c r="C16" s="2"/>
      <c r="D16" s="2"/>
      <c r="E16" s="2"/>
      <c r="F16" s="2"/>
      <c r="H16" s="20" t="s">
        <v>83</v>
      </c>
      <c r="I16" s="14">
        <f t="shared" si="0"/>
        <v>20144.12</v>
      </c>
      <c r="J16" s="35">
        <v>19506.53</v>
      </c>
      <c r="K16" s="35">
        <v>637.59</v>
      </c>
      <c r="M16" s="20" t="s">
        <v>83</v>
      </c>
      <c r="N16" s="16">
        <f>SUM(O16:P16)</f>
        <v>20144.12</v>
      </c>
      <c r="O16" s="28">
        <v>19506.53</v>
      </c>
      <c r="P16" s="28">
        <v>637.59</v>
      </c>
      <c r="Q16" s="18"/>
      <c r="R16" s="20" t="s">
        <v>83</v>
      </c>
      <c r="S16" s="16">
        <v>10000</v>
      </c>
      <c r="T16" s="17">
        <v>3750</v>
      </c>
      <c r="U16" s="17">
        <f t="shared" si="2"/>
        <v>573.831</v>
      </c>
      <c r="V16" s="17">
        <f t="shared" si="3"/>
        <v>4876.6325</v>
      </c>
      <c r="W16" s="19">
        <f t="shared" si="4"/>
        <v>19200.463499999998</v>
      </c>
      <c r="X16" s="18"/>
      <c r="Y16" s="24" t="s">
        <v>84</v>
      </c>
      <c r="Z16" s="16">
        <f t="shared" si="5"/>
        <v>11165.779999999999</v>
      </c>
      <c r="AA16" s="28">
        <v>8877.9</v>
      </c>
      <c r="AB16" s="40">
        <v>2287.88</v>
      </c>
      <c r="AC16" s="41"/>
      <c r="AD16" s="20" t="s">
        <v>83</v>
      </c>
      <c r="AE16" s="16">
        <v>10000</v>
      </c>
      <c r="AF16" s="17">
        <v>3750</v>
      </c>
      <c r="AG16" s="17">
        <f t="shared" si="13"/>
        <v>2059.092</v>
      </c>
      <c r="AH16" s="17">
        <f t="shared" si="6"/>
        <v>2219.475</v>
      </c>
      <c r="AI16" s="23">
        <f t="shared" si="7"/>
        <v>18028.567</v>
      </c>
      <c r="AJ16" s="41"/>
      <c r="AK16" s="37" t="s">
        <v>85</v>
      </c>
      <c r="AL16" s="16">
        <f t="shared" si="8"/>
        <v>22217.21</v>
      </c>
      <c r="AM16" s="37">
        <v>19378.5</v>
      </c>
      <c r="AN16" s="37">
        <v>2838.71</v>
      </c>
      <c r="AO16" s="38"/>
      <c r="AP16" s="20" t="s">
        <v>83</v>
      </c>
      <c r="AQ16" s="16">
        <v>10000</v>
      </c>
      <c r="AR16" s="17">
        <v>3750</v>
      </c>
      <c r="AS16" s="17">
        <v>1174</v>
      </c>
      <c r="AT16" s="17">
        <f t="shared" si="9"/>
        <v>4844.625</v>
      </c>
      <c r="AU16" s="23">
        <f t="shared" si="10"/>
        <v>19768.625</v>
      </c>
      <c r="AV16" s="38"/>
      <c r="AW16" s="23" t="s">
        <v>86</v>
      </c>
      <c r="AX16" s="29">
        <v>4574.82</v>
      </c>
      <c r="AY16" s="27">
        <v>4056</v>
      </c>
      <c r="AZ16" s="27">
        <v>518.82</v>
      </c>
      <c r="BB16" s="20" t="s">
        <v>83</v>
      </c>
      <c r="BC16" s="16">
        <v>10000</v>
      </c>
      <c r="BD16" s="17">
        <v>3750</v>
      </c>
      <c r="BE16" s="17">
        <v>1174</v>
      </c>
      <c r="BF16" s="17">
        <f t="shared" si="11"/>
        <v>1014</v>
      </c>
      <c r="BG16" s="23">
        <f t="shared" si="12"/>
        <v>15938</v>
      </c>
    </row>
    <row r="17" spans="1:59" ht="15">
      <c r="A17" s="2"/>
      <c r="B17" s="2" t="s">
        <v>87</v>
      </c>
      <c r="C17" s="2"/>
      <c r="D17" s="2"/>
      <c r="E17" s="2"/>
      <c r="F17" s="2"/>
      <c r="H17" s="20" t="s">
        <v>88</v>
      </c>
      <c r="I17" s="14">
        <f t="shared" si="0"/>
        <v>14735.99</v>
      </c>
      <c r="J17" s="32">
        <v>13755.35</v>
      </c>
      <c r="K17" s="32">
        <v>980.64</v>
      </c>
      <c r="M17" s="20" t="s">
        <v>88</v>
      </c>
      <c r="N17" s="16">
        <f>SUM(O17:P17)</f>
        <v>14735.99</v>
      </c>
      <c r="O17" s="17">
        <v>13755.35</v>
      </c>
      <c r="P17" s="17">
        <v>980.64</v>
      </c>
      <c r="Q17" s="18"/>
      <c r="R17" s="20" t="s">
        <v>88</v>
      </c>
      <c r="S17" s="16">
        <v>10000</v>
      </c>
      <c r="T17" s="17">
        <v>3750</v>
      </c>
      <c r="U17" s="17">
        <f t="shared" si="2"/>
        <v>882.576</v>
      </c>
      <c r="V17" s="17">
        <f t="shared" si="3"/>
        <v>3438.8375</v>
      </c>
      <c r="W17" s="19">
        <f t="shared" si="4"/>
        <v>18071.413500000002</v>
      </c>
      <c r="X17" s="18"/>
      <c r="Y17" s="24" t="s">
        <v>89</v>
      </c>
      <c r="Z17" s="16">
        <f t="shared" si="5"/>
        <v>29195.5</v>
      </c>
      <c r="AA17" s="28">
        <v>26776.46</v>
      </c>
      <c r="AB17" s="40">
        <v>2419.04</v>
      </c>
      <c r="AC17" s="41"/>
      <c r="AD17" s="20" t="s">
        <v>88</v>
      </c>
      <c r="AE17" s="16">
        <v>10000</v>
      </c>
      <c r="AF17" s="17">
        <v>3750</v>
      </c>
      <c r="AG17" s="17">
        <f t="shared" si="13"/>
        <v>2177.136</v>
      </c>
      <c r="AH17" s="17">
        <f t="shared" si="6"/>
        <v>6694.115</v>
      </c>
      <c r="AI17" s="23">
        <f t="shared" si="7"/>
        <v>22621.251</v>
      </c>
      <c r="AJ17" s="41"/>
      <c r="AK17" s="37" t="s">
        <v>90</v>
      </c>
      <c r="AL17" s="16">
        <f t="shared" si="8"/>
        <v>28550.79</v>
      </c>
      <c r="AM17" s="37">
        <v>26340.25</v>
      </c>
      <c r="AN17" s="37">
        <v>2210.54</v>
      </c>
      <c r="AO17" s="38"/>
      <c r="AP17" s="20" t="s">
        <v>88</v>
      </c>
      <c r="AQ17" s="16">
        <v>10000</v>
      </c>
      <c r="AR17" s="17">
        <v>3750</v>
      </c>
      <c r="AS17" s="17">
        <v>1174</v>
      </c>
      <c r="AT17" s="17">
        <f t="shared" si="9"/>
        <v>6585.0625</v>
      </c>
      <c r="AU17" s="23">
        <f t="shared" si="10"/>
        <v>21509.0625</v>
      </c>
      <c r="AV17" s="38"/>
      <c r="AW17" s="23" t="s">
        <v>91</v>
      </c>
      <c r="AX17" s="29">
        <v>18756.04</v>
      </c>
      <c r="AY17" s="27">
        <v>17783</v>
      </c>
      <c r="AZ17" s="27">
        <v>973.04</v>
      </c>
      <c r="BB17" s="20" t="s">
        <v>88</v>
      </c>
      <c r="BC17" s="16">
        <v>10000</v>
      </c>
      <c r="BD17" s="17">
        <v>3750</v>
      </c>
      <c r="BE17" s="17">
        <v>1174</v>
      </c>
      <c r="BF17" s="17">
        <f t="shared" si="11"/>
        <v>4445.75</v>
      </c>
      <c r="BG17" s="23">
        <f t="shared" si="12"/>
        <v>19369.75</v>
      </c>
    </row>
    <row r="18" spans="1:59" ht="15.75">
      <c r="A18" s="2"/>
      <c r="B18" s="2" t="s">
        <v>92</v>
      </c>
      <c r="C18" s="2"/>
      <c r="D18" s="2"/>
      <c r="E18" s="2"/>
      <c r="F18" s="2"/>
      <c r="H18" s="20" t="s">
        <v>26</v>
      </c>
      <c r="I18" s="14">
        <f t="shared" si="0"/>
        <v>7511.45</v>
      </c>
      <c r="J18" s="32">
        <v>6955.7</v>
      </c>
      <c r="K18" s="32">
        <v>555.75</v>
      </c>
      <c r="M18" s="44" t="s">
        <v>93</v>
      </c>
      <c r="N18" s="45">
        <v>0</v>
      </c>
      <c r="O18" s="45">
        <v>0</v>
      </c>
      <c r="P18" s="45">
        <v>0</v>
      </c>
      <c r="R18" s="46" t="s">
        <v>93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Y18" s="44" t="s">
        <v>93</v>
      </c>
      <c r="Z18" s="47">
        <v>0</v>
      </c>
      <c r="AA18" s="47">
        <v>0</v>
      </c>
      <c r="AB18" s="47">
        <v>0</v>
      </c>
      <c r="AC18" s="48"/>
      <c r="AD18" s="46" t="s">
        <v>93</v>
      </c>
      <c r="AE18" s="45">
        <v>0</v>
      </c>
      <c r="AF18" s="45">
        <v>0</v>
      </c>
      <c r="AG18" s="45">
        <v>0</v>
      </c>
      <c r="AH18" s="45">
        <v>0</v>
      </c>
      <c r="AI18" s="49">
        <v>0</v>
      </c>
      <c r="AJ18" s="50"/>
      <c r="AK18" s="51" t="s">
        <v>93</v>
      </c>
      <c r="AL18" s="52">
        <v>0</v>
      </c>
      <c r="AM18" s="52">
        <v>0</v>
      </c>
      <c r="AN18" s="52">
        <v>0</v>
      </c>
      <c r="AO18" s="50"/>
      <c r="AP18" s="53" t="s">
        <v>93</v>
      </c>
      <c r="AQ18" s="54">
        <v>0</v>
      </c>
      <c r="AR18" s="54">
        <v>0</v>
      </c>
      <c r="AS18" s="54">
        <v>0</v>
      </c>
      <c r="AT18" s="54">
        <v>0</v>
      </c>
      <c r="AU18" s="49">
        <v>0</v>
      </c>
      <c r="AV18" s="50"/>
      <c r="AW18" s="51" t="s">
        <v>93</v>
      </c>
      <c r="AX18" s="55">
        <v>0</v>
      </c>
      <c r="AY18" s="55">
        <v>0</v>
      </c>
      <c r="AZ18" s="55">
        <v>0</v>
      </c>
      <c r="BA18" s="56"/>
      <c r="BB18" s="53" t="s">
        <v>93</v>
      </c>
      <c r="BC18" s="54">
        <v>0</v>
      </c>
      <c r="BD18" s="54">
        <v>0</v>
      </c>
      <c r="BE18" s="54">
        <v>0</v>
      </c>
      <c r="BF18" s="54">
        <v>0</v>
      </c>
      <c r="BG18" s="49">
        <v>0</v>
      </c>
    </row>
    <row r="19" spans="1:59" ht="15">
      <c r="A19" s="2"/>
      <c r="B19" s="2" t="s">
        <v>94</v>
      </c>
      <c r="C19" s="2"/>
      <c r="D19" s="2"/>
      <c r="E19" s="2"/>
      <c r="F19" s="2"/>
      <c r="H19" s="20" t="s">
        <v>30</v>
      </c>
      <c r="I19" s="14">
        <f t="shared" si="0"/>
        <v>11210.490000000002</v>
      </c>
      <c r="J19" s="35">
        <v>11279.45</v>
      </c>
      <c r="K19" s="32">
        <v>-68.96</v>
      </c>
      <c r="M19" s="57" t="s">
        <v>95</v>
      </c>
      <c r="N19" s="47">
        <v>0</v>
      </c>
      <c r="O19" s="47"/>
      <c r="P19" s="47"/>
      <c r="Q19" s="58"/>
      <c r="R19" s="59" t="s">
        <v>95</v>
      </c>
      <c r="S19" s="47">
        <v>0</v>
      </c>
      <c r="T19" s="47"/>
      <c r="U19" s="47"/>
      <c r="V19" s="47"/>
      <c r="W19" s="60"/>
      <c r="X19" s="58"/>
      <c r="Y19" s="62" t="s">
        <v>95</v>
      </c>
      <c r="Z19" s="47">
        <v>0</v>
      </c>
      <c r="AA19" s="47"/>
      <c r="AB19" s="47"/>
      <c r="AC19" s="48"/>
      <c r="AD19" s="59" t="s">
        <v>95</v>
      </c>
      <c r="AE19" s="47">
        <v>0</v>
      </c>
      <c r="AF19" s="47">
        <v>0</v>
      </c>
      <c r="AG19" s="47">
        <v>0</v>
      </c>
      <c r="AH19" s="47">
        <v>0</v>
      </c>
      <c r="AI19" s="49">
        <v>0</v>
      </c>
      <c r="AJ19" s="50"/>
      <c r="AK19" s="63" t="s">
        <v>95</v>
      </c>
      <c r="AL19" s="52">
        <v>0</v>
      </c>
      <c r="AM19" s="52">
        <v>0</v>
      </c>
      <c r="AN19" s="52">
        <v>0</v>
      </c>
      <c r="AO19" s="50"/>
      <c r="AP19" s="64" t="s">
        <v>95</v>
      </c>
      <c r="AQ19" s="52">
        <v>0</v>
      </c>
      <c r="AR19" s="52">
        <v>0</v>
      </c>
      <c r="AS19" s="52">
        <v>0</v>
      </c>
      <c r="AT19" s="52">
        <v>0</v>
      </c>
      <c r="AU19" s="49">
        <v>0</v>
      </c>
      <c r="AV19" s="50"/>
      <c r="AW19" s="63" t="s">
        <v>95</v>
      </c>
      <c r="AX19" s="55">
        <v>0</v>
      </c>
      <c r="AY19" s="65">
        <v>0</v>
      </c>
      <c r="AZ19" s="65">
        <v>0</v>
      </c>
      <c r="BA19" s="56"/>
      <c r="BB19" s="64" t="s">
        <v>95</v>
      </c>
      <c r="BC19" s="52">
        <v>0</v>
      </c>
      <c r="BD19" s="52">
        <v>0</v>
      </c>
      <c r="BE19" s="52">
        <v>0</v>
      </c>
      <c r="BF19" s="52">
        <v>0</v>
      </c>
      <c r="BG19" s="49">
        <v>0</v>
      </c>
    </row>
    <row r="20" spans="1:59" ht="15">
      <c r="A20" s="66"/>
      <c r="H20" s="20" t="s">
        <v>36</v>
      </c>
      <c r="I20" s="14">
        <f t="shared" si="0"/>
        <v>25737.61</v>
      </c>
      <c r="J20" s="32">
        <v>25631.14</v>
      </c>
      <c r="K20" s="32">
        <v>106.47</v>
      </c>
      <c r="M20" s="59" t="s">
        <v>96</v>
      </c>
      <c r="N20" s="47">
        <v>0</v>
      </c>
      <c r="O20" s="47"/>
      <c r="P20" s="47"/>
      <c r="Q20" s="58"/>
      <c r="R20" s="59" t="s">
        <v>96</v>
      </c>
      <c r="S20" s="47">
        <v>0</v>
      </c>
      <c r="T20" s="47"/>
      <c r="U20" s="47"/>
      <c r="V20" s="47"/>
      <c r="W20" s="60"/>
      <c r="X20" s="58"/>
      <c r="Y20" s="59" t="s">
        <v>96</v>
      </c>
      <c r="Z20" s="47">
        <v>0</v>
      </c>
      <c r="AA20" s="47"/>
      <c r="AB20" s="47"/>
      <c r="AC20" s="48"/>
      <c r="AD20" s="59" t="s">
        <v>96</v>
      </c>
      <c r="AE20" s="47">
        <v>0</v>
      </c>
      <c r="AF20" s="47">
        <v>0</v>
      </c>
      <c r="AG20" s="47">
        <v>0</v>
      </c>
      <c r="AH20" s="47">
        <v>0</v>
      </c>
      <c r="AI20" s="49">
        <v>0</v>
      </c>
      <c r="AJ20" s="50"/>
      <c r="AK20" s="64" t="s">
        <v>96</v>
      </c>
      <c r="AL20" s="52">
        <v>0</v>
      </c>
      <c r="AM20" s="52">
        <v>0</v>
      </c>
      <c r="AN20" s="52">
        <v>0</v>
      </c>
      <c r="AO20" s="50"/>
      <c r="AP20" s="64" t="s">
        <v>96</v>
      </c>
      <c r="AQ20" s="52">
        <v>0</v>
      </c>
      <c r="AR20" s="52">
        <v>0</v>
      </c>
      <c r="AS20" s="52">
        <v>0</v>
      </c>
      <c r="AT20" s="52">
        <v>0</v>
      </c>
      <c r="AU20" s="49">
        <v>0</v>
      </c>
      <c r="AV20" s="50"/>
      <c r="AW20" s="64" t="s">
        <v>96</v>
      </c>
      <c r="AX20" s="55">
        <v>0</v>
      </c>
      <c r="AY20" s="65">
        <v>0</v>
      </c>
      <c r="AZ20" s="65">
        <v>0</v>
      </c>
      <c r="BA20" s="56"/>
      <c r="BB20" s="64" t="s">
        <v>96</v>
      </c>
      <c r="BC20" s="52">
        <v>0</v>
      </c>
      <c r="BD20" s="52">
        <v>0</v>
      </c>
      <c r="BE20" s="52">
        <v>0</v>
      </c>
      <c r="BF20" s="52">
        <v>0</v>
      </c>
      <c r="BG20" s="49">
        <v>0</v>
      </c>
    </row>
    <row r="21" spans="2:59" ht="18">
      <c r="B21"/>
      <c r="C21" s="68" t="s">
        <v>17</v>
      </c>
      <c r="H21" s="20" t="s">
        <v>41</v>
      </c>
      <c r="I21" s="14">
        <f t="shared" si="0"/>
        <v>12865.7</v>
      </c>
      <c r="J21" s="32">
        <v>11555.33</v>
      </c>
      <c r="K21" s="32">
        <v>1310.37</v>
      </c>
      <c r="M21" s="46" t="s">
        <v>97</v>
      </c>
      <c r="N21" s="69">
        <v>0</v>
      </c>
      <c r="O21" s="47"/>
      <c r="P21" s="47"/>
      <c r="Q21" s="58"/>
      <c r="R21" s="46" t="s">
        <v>97</v>
      </c>
      <c r="S21" s="69">
        <v>0</v>
      </c>
      <c r="T21" s="47"/>
      <c r="U21" s="47"/>
      <c r="V21" s="47"/>
      <c r="W21" s="47"/>
      <c r="X21" s="58"/>
      <c r="Y21" s="46" t="s">
        <v>97</v>
      </c>
      <c r="Z21" s="69">
        <v>0</v>
      </c>
      <c r="AA21" s="47"/>
      <c r="AB21" s="47"/>
      <c r="AC21" s="48"/>
      <c r="AD21" s="46" t="s">
        <v>97</v>
      </c>
      <c r="AE21" s="69">
        <v>0</v>
      </c>
      <c r="AF21" s="47">
        <v>0</v>
      </c>
      <c r="AG21" s="47">
        <v>0</v>
      </c>
      <c r="AH21" s="47">
        <v>0</v>
      </c>
      <c r="AI21" s="47">
        <v>0</v>
      </c>
      <c r="AJ21" s="48"/>
      <c r="AK21" s="46" t="s">
        <v>97</v>
      </c>
      <c r="AL21" s="69">
        <v>0</v>
      </c>
      <c r="AM21" s="47">
        <v>0</v>
      </c>
      <c r="AN21" s="47">
        <v>0</v>
      </c>
      <c r="AO21" s="48"/>
      <c r="AP21" s="46" t="s">
        <v>97</v>
      </c>
      <c r="AQ21" s="69">
        <v>0</v>
      </c>
      <c r="AR21" s="47">
        <v>0</v>
      </c>
      <c r="AS21" s="47">
        <v>0</v>
      </c>
      <c r="AT21" s="47">
        <v>0</v>
      </c>
      <c r="AU21" s="47">
        <v>0</v>
      </c>
      <c r="AV21" s="48"/>
      <c r="AW21" s="46" t="s">
        <v>97</v>
      </c>
      <c r="AX21" s="69">
        <v>0</v>
      </c>
      <c r="AY21" s="47">
        <v>0</v>
      </c>
      <c r="AZ21" s="47">
        <v>0</v>
      </c>
      <c r="BB21" s="46" t="s">
        <v>97</v>
      </c>
      <c r="BC21" s="69">
        <v>0</v>
      </c>
      <c r="BD21" s="47">
        <v>0</v>
      </c>
      <c r="BE21" s="47">
        <v>0</v>
      </c>
      <c r="BF21" s="47">
        <v>0</v>
      </c>
      <c r="BG21" s="47"/>
    </row>
    <row r="22" spans="2:52" ht="18">
      <c r="B22" s="70" t="s">
        <v>98</v>
      </c>
      <c r="C22" s="71">
        <v>6604.294166666667</v>
      </c>
      <c r="H22" s="20" t="s">
        <v>46</v>
      </c>
      <c r="I22" s="14">
        <f t="shared" si="0"/>
        <v>16057.54</v>
      </c>
      <c r="J22" s="35">
        <v>15340.28</v>
      </c>
      <c r="K22" s="32">
        <v>717.26</v>
      </c>
      <c r="M22" s="7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3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3"/>
      <c r="AX22" s="58"/>
      <c r="AY22" s="56"/>
      <c r="AZ22" s="56"/>
    </row>
    <row r="23" spans="2:38" ht="18">
      <c r="B23" s="60" t="s">
        <v>99</v>
      </c>
      <c r="C23" s="75">
        <f>0.0652*6604.29</f>
        <v>430.59970799999996</v>
      </c>
      <c r="H23" s="24" t="s">
        <v>51</v>
      </c>
      <c r="I23" s="14">
        <f t="shared" si="0"/>
        <v>46148.84</v>
      </c>
      <c r="J23" s="76">
        <v>45692.45</v>
      </c>
      <c r="K23" s="76">
        <v>456.39</v>
      </c>
      <c r="M23" s="77"/>
      <c r="P23" s="77"/>
      <c r="AL23" t="s">
        <v>0</v>
      </c>
    </row>
    <row r="24" spans="2:38" ht="18">
      <c r="B24" s="60" t="s">
        <v>100</v>
      </c>
      <c r="C24" s="75">
        <f>0.7899*6604.29</f>
        <v>5216.728671</v>
      </c>
      <c r="H24" s="24" t="s">
        <v>57</v>
      </c>
      <c r="I24" s="14">
        <f t="shared" si="0"/>
        <v>20132.31</v>
      </c>
      <c r="J24" s="76">
        <v>18994.93</v>
      </c>
      <c r="K24" s="76">
        <v>1137.38</v>
      </c>
      <c r="M24" s="77"/>
      <c r="N24" s="115" t="s">
        <v>101</v>
      </c>
      <c r="O24" s="116"/>
      <c r="P24" s="77"/>
      <c r="R24" s="77"/>
      <c r="S24" s="115" t="s">
        <v>102</v>
      </c>
      <c r="T24" s="116"/>
      <c r="U24" s="77"/>
      <c r="AB24" s="67" t="s">
        <v>0</v>
      </c>
      <c r="AC24" s="67"/>
      <c r="AD24" s="67"/>
      <c r="AE24" s="67"/>
      <c r="AF24" s="67"/>
      <c r="AG24" s="67"/>
      <c r="AH24" s="67"/>
      <c r="AI24" s="67"/>
      <c r="AJ24" s="67"/>
      <c r="AK24" s="67" t="s">
        <v>0</v>
      </c>
      <c r="AL24" s="67" t="s">
        <v>0</v>
      </c>
    </row>
    <row r="25" spans="2:38" ht="18">
      <c r="B25" s="60" t="s">
        <v>103</v>
      </c>
      <c r="C25" s="75">
        <f>0.1439*6604.29</f>
        <v>950.357331</v>
      </c>
      <c r="H25" s="24" t="s">
        <v>64</v>
      </c>
      <c r="I25" s="14">
        <f t="shared" si="0"/>
        <v>38377.79</v>
      </c>
      <c r="J25" s="76">
        <v>37140.25</v>
      </c>
      <c r="K25" s="76">
        <v>1237.54</v>
      </c>
      <c r="M25" s="77"/>
      <c r="N25" s="78" t="s">
        <v>16</v>
      </c>
      <c r="O25" s="68" t="s">
        <v>17</v>
      </c>
      <c r="P25" s="68" t="s">
        <v>18</v>
      </c>
      <c r="R25" s="77"/>
      <c r="S25" s="68" t="s">
        <v>104</v>
      </c>
      <c r="T25" s="68" t="s">
        <v>21</v>
      </c>
      <c r="U25" s="68" t="s">
        <v>105</v>
      </c>
      <c r="V25" s="68" t="s">
        <v>23</v>
      </c>
      <c r="W25" s="68" t="s">
        <v>24</v>
      </c>
      <c r="AB25" s="67" t="s">
        <v>0</v>
      </c>
      <c r="AC25" s="67"/>
      <c r="AD25" s="67"/>
      <c r="AE25" s="67"/>
      <c r="AF25" s="67"/>
      <c r="AG25" s="67"/>
      <c r="AH25" s="67"/>
      <c r="AI25" s="67"/>
      <c r="AJ25" s="67"/>
      <c r="AK25" s="67" t="s">
        <v>0</v>
      </c>
      <c r="AL25" s="67" t="s">
        <v>0</v>
      </c>
    </row>
    <row r="26" spans="2:38" ht="18">
      <c r="B26" s="79" t="s">
        <v>106</v>
      </c>
      <c r="C26" s="75">
        <f>0.001*6604.29</f>
        <v>6.60429</v>
      </c>
      <c r="H26" s="24" t="s">
        <v>69</v>
      </c>
      <c r="I26" s="14">
        <f t="shared" si="0"/>
        <v>8751.7</v>
      </c>
      <c r="J26" s="76">
        <v>8013.5</v>
      </c>
      <c r="K26" s="76">
        <v>738.2</v>
      </c>
      <c r="M26" s="80" t="s">
        <v>98</v>
      </c>
      <c r="N26" s="81">
        <f>N18</f>
        <v>0</v>
      </c>
      <c r="O26" s="81">
        <f>O18</f>
        <v>0</v>
      </c>
      <c r="P26" s="81">
        <f>P18</f>
        <v>0</v>
      </c>
      <c r="R26" s="80" t="s">
        <v>98</v>
      </c>
      <c r="S26" s="81">
        <f>S18</f>
        <v>0</v>
      </c>
      <c r="T26" s="81">
        <f>T18</f>
        <v>0</v>
      </c>
      <c r="U26" s="81">
        <f>U18</f>
        <v>0</v>
      </c>
      <c r="V26" s="81">
        <f>V18</f>
        <v>0</v>
      </c>
      <c r="W26" s="81">
        <f>W18</f>
        <v>0</v>
      </c>
      <c r="AB26" s="67" t="s">
        <v>0</v>
      </c>
      <c r="AC26" s="67"/>
      <c r="AD26" s="67"/>
      <c r="AE26" s="67"/>
      <c r="AF26" s="67"/>
      <c r="AG26" s="67"/>
      <c r="AH26" s="67"/>
      <c r="AI26" s="67"/>
      <c r="AJ26" s="67"/>
      <c r="AK26" s="67" t="s">
        <v>0</v>
      </c>
      <c r="AL26" s="67" t="s">
        <v>0</v>
      </c>
    </row>
    <row r="27" spans="2:38" ht="18">
      <c r="B27" s="70" t="s">
        <v>107</v>
      </c>
      <c r="C27" s="82">
        <v>18292.392307692306</v>
      </c>
      <c r="H27" s="24" t="s">
        <v>74</v>
      </c>
      <c r="I27" s="14">
        <f t="shared" si="0"/>
        <v>14784.85</v>
      </c>
      <c r="J27" s="76">
        <v>13414.41</v>
      </c>
      <c r="K27" s="76">
        <v>1370.44</v>
      </c>
      <c r="M27" s="80" t="s">
        <v>107</v>
      </c>
      <c r="N27" s="83">
        <f>Z18</f>
        <v>0</v>
      </c>
      <c r="O27" s="83">
        <f>AA18</f>
        <v>0</v>
      </c>
      <c r="P27" s="83">
        <f>AB18</f>
        <v>0</v>
      </c>
      <c r="R27" s="80" t="s">
        <v>107</v>
      </c>
      <c r="S27" s="83">
        <f>AE18</f>
        <v>0</v>
      </c>
      <c r="T27" s="83">
        <f>AF18</f>
        <v>0</v>
      </c>
      <c r="U27" s="83">
        <f>AG18</f>
        <v>0</v>
      </c>
      <c r="V27" s="83">
        <f>AH18</f>
        <v>0</v>
      </c>
      <c r="W27" s="83">
        <f>AI18</f>
        <v>0</v>
      </c>
      <c r="AB27" s="67" t="s">
        <v>0</v>
      </c>
      <c r="AC27" s="67"/>
      <c r="AD27" s="67"/>
      <c r="AE27" s="67"/>
      <c r="AF27" s="67"/>
      <c r="AG27" s="67"/>
      <c r="AH27" s="67"/>
      <c r="AI27" s="67"/>
      <c r="AJ27" s="67"/>
      <c r="AK27" s="67" t="s">
        <v>0</v>
      </c>
      <c r="AL27" s="67" t="s">
        <v>0</v>
      </c>
    </row>
    <row r="28" spans="2:38" ht="18">
      <c r="B28" s="60" t="s">
        <v>99</v>
      </c>
      <c r="C28" s="84">
        <f>18292.3*0.0813</f>
        <v>1487.1639899999998</v>
      </c>
      <c r="H28" s="24" t="s">
        <v>79</v>
      </c>
      <c r="I28" s="14">
        <f t="shared" si="0"/>
        <v>9190.94</v>
      </c>
      <c r="J28" s="76">
        <v>8129.3</v>
      </c>
      <c r="K28" s="76">
        <v>1061.64</v>
      </c>
      <c r="M28" s="80" t="s">
        <v>108</v>
      </c>
      <c r="N28" s="83">
        <f>AL18</f>
        <v>0</v>
      </c>
      <c r="O28" s="83">
        <f>AM18</f>
        <v>0</v>
      </c>
      <c r="P28" s="83">
        <f>AN18</f>
        <v>0</v>
      </c>
      <c r="R28" s="80" t="s">
        <v>108</v>
      </c>
      <c r="S28" s="83">
        <f>AQ18</f>
        <v>0</v>
      </c>
      <c r="T28" s="83">
        <f>AR18</f>
        <v>0</v>
      </c>
      <c r="U28" s="83">
        <f>AS18</f>
        <v>0</v>
      </c>
      <c r="V28" s="83">
        <f>AT18</f>
        <v>0</v>
      </c>
      <c r="W28" s="83">
        <f>AU18</f>
        <v>0</v>
      </c>
      <c r="Y28" t="s">
        <v>0</v>
      </c>
      <c r="AB28" s="67" t="s">
        <v>0</v>
      </c>
      <c r="AC28" s="67"/>
      <c r="AD28" s="67"/>
      <c r="AE28" s="67"/>
      <c r="AF28" s="67"/>
      <c r="AG28" s="67"/>
      <c r="AH28" s="67"/>
      <c r="AI28" s="67"/>
      <c r="AJ28" s="67"/>
      <c r="AK28" s="67" t="s">
        <v>0</v>
      </c>
      <c r="AL28" s="67" t="s">
        <v>0</v>
      </c>
    </row>
    <row r="29" spans="2:23" ht="18">
      <c r="B29" s="60" t="s">
        <v>100</v>
      </c>
      <c r="C29" s="84">
        <f>18292.3*0.5754</f>
        <v>10525.38942</v>
      </c>
      <c r="D29">
        <f>(C29*0.9)/4</f>
        <v>2368.2126195</v>
      </c>
      <c r="H29" s="24" t="s">
        <v>84</v>
      </c>
      <c r="I29" s="14">
        <f t="shared" si="0"/>
        <v>11165.779999999999</v>
      </c>
      <c r="J29" s="76">
        <v>8877.9</v>
      </c>
      <c r="K29" s="76">
        <v>2287.88</v>
      </c>
      <c r="M29" s="80" t="s">
        <v>109</v>
      </c>
      <c r="N29" s="83">
        <f>AX18</f>
        <v>0</v>
      </c>
      <c r="O29" s="83">
        <f>AY18</f>
        <v>0</v>
      </c>
      <c r="P29" s="83">
        <f>AZ18</f>
        <v>0</v>
      </c>
      <c r="R29" s="80" t="s">
        <v>109</v>
      </c>
      <c r="S29" s="83">
        <f>BC18</f>
        <v>0</v>
      </c>
      <c r="T29" s="83">
        <f>BD18</f>
        <v>0</v>
      </c>
      <c r="U29" s="83">
        <f>BE18</f>
        <v>0</v>
      </c>
      <c r="V29" s="83">
        <f>BF18</f>
        <v>0</v>
      </c>
      <c r="W29" s="83">
        <f>BG18</f>
        <v>0</v>
      </c>
    </row>
    <row r="30" spans="2:11" ht="15">
      <c r="B30" s="60" t="s">
        <v>103</v>
      </c>
      <c r="C30" s="84">
        <f>18292.3*0.3374</f>
        <v>6171.82202</v>
      </c>
      <c r="H30" s="24" t="s">
        <v>89</v>
      </c>
      <c r="I30" s="14">
        <f t="shared" si="0"/>
        <v>29195.5</v>
      </c>
      <c r="J30" s="76">
        <v>26776.46</v>
      </c>
      <c r="K30" s="76">
        <v>2419.04</v>
      </c>
    </row>
    <row r="31" spans="2:21" ht="18.75" thickBot="1">
      <c r="B31" s="79" t="s">
        <v>106</v>
      </c>
      <c r="C31" s="84">
        <f>18292.3*0.0058</f>
        <v>106.09534</v>
      </c>
      <c r="H31" s="24" t="s">
        <v>27</v>
      </c>
      <c r="I31" s="14">
        <f t="shared" si="0"/>
        <v>9226.15</v>
      </c>
      <c r="J31" s="76">
        <v>8209.21</v>
      </c>
      <c r="K31" s="76">
        <v>1016.94</v>
      </c>
      <c r="M31" s="77"/>
      <c r="N31" s="115" t="s">
        <v>110</v>
      </c>
      <c r="O31" s="116"/>
      <c r="P31" s="77"/>
      <c r="R31" s="77"/>
      <c r="S31" s="115" t="s">
        <v>111</v>
      </c>
      <c r="T31" s="116"/>
      <c r="U31" s="77"/>
    </row>
    <row r="32" spans="2:49" ht="18.75" thickBot="1">
      <c r="B32" s="70" t="s">
        <v>108</v>
      </c>
      <c r="C32" s="85">
        <v>16210.03076923077</v>
      </c>
      <c r="H32" s="24" t="s">
        <v>31</v>
      </c>
      <c r="I32" s="14">
        <f t="shared" si="0"/>
        <v>11216.78</v>
      </c>
      <c r="J32" s="76">
        <v>7925.25</v>
      </c>
      <c r="K32" s="76">
        <v>3291.53</v>
      </c>
      <c r="M32" s="77"/>
      <c r="N32" s="78" t="s">
        <v>16</v>
      </c>
      <c r="O32" s="68" t="s">
        <v>17</v>
      </c>
      <c r="P32" s="68" t="s">
        <v>18</v>
      </c>
      <c r="R32" s="77"/>
      <c r="S32" s="68" t="s">
        <v>104</v>
      </c>
      <c r="T32" s="68" t="s">
        <v>21</v>
      </c>
      <c r="U32" s="68" t="s">
        <v>105</v>
      </c>
      <c r="V32" s="68" t="s">
        <v>23</v>
      </c>
      <c r="W32" s="68" t="s">
        <v>24</v>
      </c>
      <c r="AK32" t="s">
        <v>99</v>
      </c>
      <c r="AN32">
        <v>1646</v>
      </c>
      <c r="AW32" s="86">
        <f>AN32/AN36</f>
        <v>0.08133516164498635</v>
      </c>
    </row>
    <row r="33" spans="2:49" ht="18">
      <c r="B33" s="60" t="s">
        <v>99</v>
      </c>
      <c r="C33" s="84">
        <f>16210.03*0.1949</f>
        <v>3159.334847</v>
      </c>
      <c r="H33" s="24" t="s">
        <v>37</v>
      </c>
      <c r="I33" s="14">
        <f t="shared" si="0"/>
        <v>20688.91</v>
      </c>
      <c r="J33" s="76">
        <v>20132.09</v>
      </c>
      <c r="K33" s="76">
        <v>556.82</v>
      </c>
      <c r="M33" s="80" t="s">
        <v>98</v>
      </c>
      <c r="N33" s="81">
        <f>N21</f>
        <v>0</v>
      </c>
      <c r="O33" s="81">
        <f>O21</f>
        <v>0</v>
      </c>
      <c r="P33" s="81">
        <f>P21</f>
        <v>0</v>
      </c>
      <c r="R33" s="80" t="s">
        <v>98</v>
      </c>
      <c r="S33" s="81">
        <f>S21</f>
        <v>0</v>
      </c>
      <c r="T33" s="81">
        <f>T21</f>
        <v>0</v>
      </c>
      <c r="U33" s="81">
        <f>U21</f>
        <v>0</v>
      </c>
      <c r="V33" s="81">
        <f>V21</f>
        <v>0</v>
      </c>
      <c r="W33" s="81">
        <f>W21</f>
        <v>0</v>
      </c>
      <c r="AK33" s="87" t="s">
        <v>112</v>
      </c>
      <c r="AL33" s="88"/>
      <c r="AM33" s="89"/>
      <c r="AN33" s="90">
        <v>6828</v>
      </c>
      <c r="AO33" s="90"/>
      <c r="AP33" s="90"/>
      <c r="AQ33" s="90"/>
      <c r="AR33" s="90"/>
      <c r="AS33" s="90"/>
      <c r="AT33" s="90"/>
      <c r="AU33" s="90"/>
      <c r="AV33" s="90"/>
      <c r="AW33" s="91">
        <f>AN33/AN36</f>
        <v>0.33739762072415963</v>
      </c>
    </row>
    <row r="34" spans="2:49" ht="18">
      <c r="B34" s="60" t="s">
        <v>100</v>
      </c>
      <c r="C34" s="84">
        <f>16210.03*0.55</f>
        <v>8915.516500000002</v>
      </c>
      <c r="D34">
        <f>(C34*0.9)/4</f>
        <v>2005.9912125000003</v>
      </c>
      <c r="H34" s="24" t="s">
        <v>42</v>
      </c>
      <c r="I34" s="14">
        <f t="shared" si="0"/>
        <v>26042.36</v>
      </c>
      <c r="J34" s="76">
        <v>23862.15</v>
      </c>
      <c r="K34" s="76">
        <v>2180.21</v>
      </c>
      <c r="M34" s="80" t="s">
        <v>107</v>
      </c>
      <c r="N34" s="83">
        <f>Z21</f>
        <v>0</v>
      </c>
      <c r="O34" s="83">
        <f>AA21</f>
        <v>0</v>
      </c>
      <c r="P34" s="83">
        <f>AB21</f>
        <v>0</v>
      </c>
      <c r="R34" s="80" t="s">
        <v>107</v>
      </c>
      <c r="S34" s="83">
        <f>AE21</f>
        <v>0</v>
      </c>
      <c r="T34" s="83">
        <f>AF21</f>
        <v>0</v>
      </c>
      <c r="U34" s="83">
        <f>AG21</f>
        <v>0</v>
      </c>
      <c r="V34" s="83">
        <f>AH21</f>
        <v>0</v>
      </c>
      <c r="W34" s="83">
        <f>AI21</f>
        <v>0</v>
      </c>
      <c r="AK34" s="92" t="s">
        <v>113</v>
      </c>
      <c r="AN34">
        <v>11645.5</v>
      </c>
      <c r="AW34" s="92">
        <f>AN34/AN36</f>
        <v>0.5754487393297014</v>
      </c>
    </row>
    <row r="35" spans="2:49" ht="18.75" thickBot="1">
      <c r="B35" s="60" t="s">
        <v>103</v>
      </c>
      <c r="C35" s="84">
        <f>16210.03*0.2459</f>
        <v>3986.046377</v>
      </c>
      <c r="H35" s="37" t="s">
        <v>47</v>
      </c>
      <c r="I35" s="14">
        <f t="shared" si="0"/>
        <v>14336.76</v>
      </c>
      <c r="J35" s="93">
        <v>10580.5</v>
      </c>
      <c r="K35" s="93">
        <v>3756.26</v>
      </c>
      <c r="M35" s="80" t="s">
        <v>108</v>
      </c>
      <c r="N35" s="83">
        <f>AL21</f>
        <v>0</v>
      </c>
      <c r="O35" s="83">
        <f>AM21</f>
        <v>0</v>
      </c>
      <c r="P35" s="83">
        <f>AN21</f>
        <v>0</v>
      </c>
      <c r="R35" s="80" t="s">
        <v>108</v>
      </c>
      <c r="S35" s="83">
        <f>AQ21</f>
        <v>0</v>
      </c>
      <c r="T35" s="83">
        <f>AR21</f>
        <v>0</v>
      </c>
      <c r="U35" s="83">
        <f>AS21</f>
        <v>0</v>
      </c>
      <c r="V35" s="83">
        <f>AT21</f>
        <v>0</v>
      </c>
      <c r="W35" s="83">
        <f>AU21</f>
        <v>0</v>
      </c>
      <c r="AK35" s="92" t="s">
        <v>114</v>
      </c>
      <c r="AL35" t="s">
        <v>0</v>
      </c>
      <c r="AN35">
        <v>117.75</v>
      </c>
      <c r="AW35" s="94">
        <f>AN35/AN36</f>
        <v>0.005818478301152578</v>
      </c>
    </row>
    <row r="36" spans="2:49" ht="18">
      <c r="B36" s="79" t="s">
        <v>106</v>
      </c>
      <c r="C36" s="84">
        <f>16210.03*0.0093</f>
        <v>150.753279</v>
      </c>
      <c r="H36" s="37" t="s">
        <v>52</v>
      </c>
      <c r="I36" s="14">
        <f t="shared" si="0"/>
        <v>25951.86</v>
      </c>
      <c r="J36" s="93">
        <v>22349.55</v>
      </c>
      <c r="K36" s="93">
        <v>3602.31</v>
      </c>
      <c r="M36" s="80" t="s">
        <v>109</v>
      </c>
      <c r="N36" s="83">
        <f>AX21</f>
        <v>0</v>
      </c>
      <c r="O36" s="83">
        <f>AY21</f>
        <v>0</v>
      </c>
      <c r="P36" s="83">
        <f>AZ21</f>
        <v>0</v>
      </c>
      <c r="R36" s="80" t="s">
        <v>109</v>
      </c>
      <c r="S36" s="83">
        <f>BC21</f>
        <v>0</v>
      </c>
      <c r="T36" s="83">
        <f>BD21</f>
        <v>0</v>
      </c>
      <c r="U36" s="83">
        <f>BE21</f>
        <v>0</v>
      </c>
      <c r="V36" s="83">
        <f>BF21</f>
        <v>0</v>
      </c>
      <c r="W36" s="83">
        <f>BG21</f>
        <v>0</v>
      </c>
      <c r="AA36" s="95" t="s">
        <v>0</v>
      </c>
      <c r="AK36" s="89" t="s">
        <v>115</v>
      </c>
      <c r="AN36">
        <v>20237.25</v>
      </c>
      <c r="AW36">
        <f>SUM(AW32:AW35)</f>
        <v>1</v>
      </c>
    </row>
    <row r="37" spans="2:49" ht="18">
      <c r="B37" s="70" t="s">
        <v>109</v>
      </c>
      <c r="C37" s="85">
        <v>17832.61076923077</v>
      </c>
      <c r="H37" s="37" t="s">
        <v>58</v>
      </c>
      <c r="I37" s="14">
        <f aca="true" t="shared" si="14" ref="I37:I56">J37+K37</f>
        <v>18257.65</v>
      </c>
      <c r="J37" s="93">
        <v>14328.85</v>
      </c>
      <c r="K37" s="93">
        <v>3928.8</v>
      </c>
      <c r="AK37" s="96" t="s">
        <v>116</v>
      </c>
      <c r="AN37">
        <v>20910.41</v>
      </c>
      <c r="AW37">
        <v>1</v>
      </c>
    </row>
    <row r="38" spans="2:16" ht="18">
      <c r="B38" s="60" t="s">
        <v>99</v>
      </c>
      <c r="C38" s="97">
        <f>17832.61*0.0225</f>
        <v>401.233725</v>
      </c>
      <c r="H38" s="37" t="s">
        <v>65</v>
      </c>
      <c r="I38" s="14">
        <f t="shared" si="14"/>
        <v>23033.93</v>
      </c>
      <c r="J38" s="93">
        <v>19876.6</v>
      </c>
      <c r="K38" s="93">
        <v>3157.33</v>
      </c>
      <c r="M38" s="77"/>
      <c r="N38" s="115" t="s">
        <v>117</v>
      </c>
      <c r="O38" s="116"/>
      <c r="P38" s="116"/>
    </row>
    <row r="39" spans="2:14" ht="18">
      <c r="B39" s="60" t="s">
        <v>100</v>
      </c>
      <c r="C39" s="97">
        <f>17832.61*0.58</f>
        <v>10342.9138</v>
      </c>
      <c r="D39">
        <f>(C39*0.9)/4</f>
        <v>2327.155605</v>
      </c>
      <c r="H39" s="37" t="s">
        <v>70</v>
      </c>
      <c r="I39" s="14">
        <f t="shared" si="14"/>
        <v>10586.5</v>
      </c>
      <c r="J39" s="93">
        <v>8482.5</v>
      </c>
      <c r="K39" s="93">
        <v>2104</v>
      </c>
      <c r="M39" s="77"/>
      <c r="N39" s="78" t="s">
        <v>16</v>
      </c>
    </row>
    <row r="40" spans="2:14" ht="18.75" thickBot="1">
      <c r="B40" s="60" t="s">
        <v>103</v>
      </c>
      <c r="C40" s="97">
        <f>17832.61*0.39</f>
        <v>6954.717900000001</v>
      </c>
      <c r="H40" s="37" t="s">
        <v>75</v>
      </c>
      <c r="I40" s="14">
        <f t="shared" si="14"/>
        <v>14976.300000000001</v>
      </c>
      <c r="J40" s="93">
        <v>12305.45</v>
      </c>
      <c r="K40" s="93">
        <v>2670.85</v>
      </c>
      <c r="M40" s="80" t="s">
        <v>98</v>
      </c>
      <c r="N40" s="83">
        <f>N26-W26</f>
        <v>0</v>
      </c>
    </row>
    <row r="41" spans="2:47" ht="18.75" thickBot="1">
      <c r="B41" s="79" t="s">
        <v>106</v>
      </c>
      <c r="C41" s="97">
        <f>17832.61*0.0075</f>
        <v>133.744575</v>
      </c>
      <c r="H41" s="37" t="s">
        <v>80</v>
      </c>
      <c r="I41" s="14">
        <f t="shared" si="14"/>
        <v>18616.1</v>
      </c>
      <c r="J41" s="93">
        <v>16959.5</v>
      </c>
      <c r="K41" s="93">
        <v>1656.6</v>
      </c>
      <c r="M41" s="80" t="s">
        <v>107</v>
      </c>
      <c r="N41" s="83">
        <f>N27-W27</f>
        <v>0</v>
      </c>
      <c r="AI41" t="s">
        <v>99</v>
      </c>
      <c r="AL41">
        <v>2543</v>
      </c>
      <c r="AU41" s="86">
        <f>AL41/AN45</f>
        <v>0.19485470183705916</v>
      </c>
    </row>
    <row r="42" spans="8:47" ht="18">
      <c r="H42" s="37" t="s">
        <v>85</v>
      </c>
      <c r="I42" s="14">
        <f t="shared" si="14"/>
        <v>22217.21</v>
      </c>
      <c r="J42" s="93">
        <v>19378.5</v>
      </c>
      <c r="K42" s="93">
        <v>2838.71</v>
      </c>
      <c r="M42" s="80" t="s">
        <v>108</v>
      </c>
      <c r="N42" s="83">
        <f>N28-W28</f>
        <v>0</v>
      </c>
      <c r="AI42" t="s">
        <v>112</v>
      </c>
      <c r="AL42">
        <v>3209</v>
      </c>
      <c r="AU42" s="91">
        <f>AL42/AN45</f>
        <v>0.24588625174798384</v>
      </c>
    </row>
    <row r="43" spans="1:47" ht="20.25">
      <c r="A43" s="119" t="s">
        <v>118</v>
      </c>
      <c r="B43" s="120"/>
      <c r="C43" s="120"/>
      <c r="D43" s="120"/>
      <c r="E43" s="120"/>
      <c r="F43" s="121"/>
      <c r="H43" s="37" t="s">
        <v>90</v>
      </c>
      <c r="I43" s="14">
        <f t="shared" si="14"/>
        <v>28550.79</v>
      </c>
      <c r="J43" s="93">
        <v>26340.25</v>
      </c>
      <c r="K43" s="93">
        <v>2210.54</v>
      </c>
      <c r="M43" s="80" t="s">
        <v>109</v>
      </c>
      <c r="N43" s="83">
        <f>N29-W29</f>
        <v>0</v>
      </c>
      <c r="AI43" t="s">
        <v>113</v>
      </c>
      <c r="AL43">
        <v>7178</v>
      </c>
      <c r="AU43" s="92">
        <f>AL43/AN45</f>
        <v>0.5500067045955214</v>
      </c>
    </row>
    <row r="44" spans="1:49" ht="15.75" thickBot="1">
      <c r="A44" s="98"/>
      <c r="B44" s="98"/>
      <c r="C44" s="98"/>
      <c r="D44" s="98"/>
      <c r="E44" s="99"/>
      <c r="H44" s="23" t="s">
        <v>28</v>
      </c>
      <c r="I44" s="14">
        <f t="shared" si="14"/>
        <v>39497.64</v>
      </c>
      <c r="J44" s="93">
        <v>37582.55</v>
      </c>
      <c r="K44" s="93">
        <v>1915.09</v>
      </c>
      <c r="AK44" t="s">
        <v>114</v>
      </c>
      <c r="AN44">
        <v>120.75</v>
      </c>
      <c r="AW44" s="94">
        <f>AN44/AN45</f>
        <v>0.009252341819435664</v>
      </c>
    </row>
    <row r="45" spans="1:49" ht="19.5" thickBot="1" thickTop="1">
      <c r="A45" s="30" t="s">
        <v>119</v>
      </c>
      <c r="B45" s="30"/>
      <c r="C45" s="100" t="s">
        <v>120</v>
      </c>
      <c r="D45" s="100" t="s">
        <v>121</v>
      </c>
      <c r="E45" s="100" t="s">
        <v>122</v>
      </c>
      <c r="F45" s="92"/>
      <c r="H45" s="23" t="s">
        <v>32</v>
      </c>
      <c r="I45" s="14">
        <f t="shared" si="14"/>
        <v>13956.060000000001</v>
      </c>
      <c r="J45" s="93">
        <v>12383.11</v>
      </c>
      <c r="K45" s="93">
        <v>1572.95</v>
      </c>
      <c r="M45" s="77"/>
      <c r="N45" s="115" t="s">
        <v>123</v>
      </c>
      <c r="O45" s="116"/>
      <c r="P45" s="77"/>
      <c r="AK45" t="s">
        <v>115</v>
      </c>
      <c r="AN45">
        <v>13050.75</v>
      </c>
      <c r="AW45">
        <v>1</v>
      </c>
    </row>
    <row r="46" spans="1:47" ht="18.75" thickTop="1">
      <c r="A46" s="30"/>
      <c r="B46" s="30" t="s">
        <v>124</v>
      </c>
      <c r="C46" s="101">
        <v>5</v>
      </c>
      <c r="D46" s="102">
        <v>29.85</v>
      </c>
      <c r="E46" s="102">
        <v>5.97</v>
      </c>
      <c r="F46" s="89"/>
      <c r="H46" s="23" t="s">
        <v>38</v>
      </c>
      <c r="I46" s="14">
        <f t="shared" si="14"/>
        <v>18745.25</v>
      </c>
      <c r="J46" s="93">
        <v>16537.25</v>
      </c>
      <c r="K46" s="93">
        <v>2208</v>
      </c>
      <c r="M46" s="77"/>
      <c r="N46" s="78" t="s">
        <v>16</v>
      </c>
      <c r="AI46" t="s">
        <v>116</v>
      </c>
      <c r="AL46">
        <v>14230.96</v>
      </c>
      <c r="AU46">
        <v>1</v>
      </c>
    </row>
    <row r="47" spans="1:14" ht="18">
      <c r="A47" s="30"/>
      <c r="B47" s="30" t="s">
        <v>125</v>
      </c>
      <c r="C47" s="101">
        <v>-19</v>
      </c>
      <c r="D47" s="102">
        <v>-193.23</v>
      </c>
      <c r="E47" s="102">
        <v>10.17</v>
      </c>
      <c r="F47" s="89"/>
      <c r="H47" s="23" t="s">
        <v>43</v>
      </c>
      <c r="I47" s="14">
        <f t="shared" si="14"/>
        <v>24862.7</v>
      </c>
      <c r="J47" s="93">
        <v>24057.05</v>
      </c>
      <c r="K47" s="93">
        <v>805.65</v>
      </c>
      <c r="M47" s="80" t="s">
        <v>98</v>
      </c>
      <c r="N47" s="83">
        <f>N33-W33</f>
        <v>0</v>
      </c>
    </row>
    <row r="48" spans="1:47" ht="18">
      <c r="A48" s="30"/>
      <c r="B48" s="30" t="s">
        <v>126</v>
      </c>
      <c r="C48" s="101">
        <v>5</v>
      </c>
      <c r="D48" s="102">
        <v>29.85</v>
      </c>
      <c r="E48" s="102">
        <v>5.97</v>
      </c>
      <c r="F48" s="89"/>
      <c r="H48" s="23" t="s">
        <v>48</v>
      </c>
      <c r="I48" s="14">
        <f t="shared" si="14"/>
        <v>13564.34</v>
      </c>
      <c r="J48" s="93">
        <v>12081.65</v>
      </c>
      <c r="K48" s="93">
        <v>1482.69</v>
      </c>
      <c r="M48" s="80" t="s">
        <v>107</v>
      </c>
      <c r="N48" s="83">
        <f>N34-W34</f>
        <v>0</v>
      </c>
      <c r="AI48" s="87" t="s">
        <v>99</v>
      </c>
      <c r="AJ48" s="87"/>
      <c r="AK48" s="88"/>
      <c r="AL48" s="96">
        <v>399</v>
      </c>
      <c r="AM48" s="96"/>
      <c r="AN48" s="96"/>
      <c r="AO48" s="96"/>
      <c r="AP48" s="96"/>
      <c r="AQ48" s="96"/>
      <c r="AR48" s="96"/>
      <c r="AS48" s="96"/>
      <c r="AT48" s="96"/>
      <c r="AU48" s="92">
        <f>AL48/AN51</f>
        <v>0.022505499464154775</v>
      </c>
    </row>
    <row r="49" spans="1:47" ht="18">
      <c r="A49" s="30"/>
      <c r="B49" s="30" t="s">
        <v>127</v>
      </c>
      <c r="C49" s="101">
        <v>30</v>
      </c>
      <c r="D49" s="102">
        <v>269.1</v>
      </c>
      <c r="E49" s="102">
        <v>8.97</v>
      </c>
      <c r="F49" s="89"/>
      <c r="H49" s="23" t="s">
        <v>53</v>
      </c>
      <c r="I49" s="14">
        <f t="shared" si="14"/>
        <v>15192.94</v>
      </c>
      <c r="J49" s="93">
        <v>14646.1</v>
      </c>
      <c r="K49" s="93">
        <v>546.84</v>
      </c>
      <c r="M49" s="80" t="s">
        <v>108</v>
      </c>
      <c r="N49" s="83">
        <f>N35-W35</f>
        <v>0</v>
      </c>
      <c r="AI49" s="87" t="s">
        <v>112</v>
      </c>
      <c r="AJ49" s="87"/>
      <c r="AK49" s="88"/>
      <c r="AL49" s="90">
        <v>6923</v>
      </c>
      <c r="AM49" s="90"/>
      <c r="AN49" s="90"/>
      <c r="AO49" s="90"/>
      <c r="AP49" s="90"/>
      <c r="AQ49" s="90"/>
      <c r="AR49" s="90"/>
      <c r="AS49" s="90"/>
      <c r="AT49" s="90"/>
      <c r="AU49" s="92">
        <f>AL49/AN51</f>
        <v>0.39049015736928194</v>
      </c>
    </row>
    <row r="50" spans="1:47" ht="18">
      <c r="A50" s="30"/>
      <c r="B50" s="30" t="s">
        <v>128</v>
      </c>
      <c r="C50" s="101">
        <v>10</v>
      </c>
      <c r="D50" s="102">
        <v>47.94</v>
      </c>
      <c r="E50" s="102">
        <v>4.79</v>
      </c>
      <c r="F50" s="89"/>
      <c r="H50" s="23" t="s">
        <v>59</v>
      </c>
      <c r="I50" s="14">
        <f t="shared" si="14"/>
        <v>24346.120000000003</v>
      </c>
      <c r="J50" s="93">
        <v>21819.45</v>
      </c>
      <c r="K50" s="93">
        <v>2526.67</v>
      </c>
      <c r="M50" s="80" t="s">
        <v>109</v>
      </c>
      <c r="N50" s="83">
        <f>N36-W36</f>
        <v>0</v>
      </c>
      <c r="AI50" s="87" t="s">
        <v>113</v>
      </c>
      <c r="AJ50" s="87"/>
      <c r="AK50" s="88"/>
      <c r="AL50" s="96">
        <v>10407</v>
      </c>
      <c r="AM50" s="96"/>
      <c r="AN50" s="96"/>
      <c r="AO50" s="96"/>
      <c r="AP50" s="96"/>
      <c r="AQ50" s="96"/>
      <c r="AR50" s="96"/>
      <c r="AS50" s="96"/>
      <c r="AT50" s="96"/>
      <c r="AU50" s="92">
        <f>AL50/AN51</f>
        <v>0.5870043431665632</v>
      </c>
    </row>
    <row r="51" spans="1:48" ht="16.5" thickBot="1">
      <c r="A51" s="30"/>
      <c r="B51" s="30" t="s">
        <v>129</v>
      </c>
      <c r="C51" s="101">
        <v>1</v>
      </c>
      <c r="D51" s="102">
        <v>14.95</v>
      </c>
      <c r="E51" s="102">
        <v>14.95</v>
      </c>
      <c r="F51" s="89"/>
      <c r="H51" s="23" t="s">
        <v>66</v>
      </c>
      <c r="I51" s="14">
        <f t="shared" si="14"/>
        <v>10611.550000000001</v>
      </c>
      <c r="J51" s="93">
        <v>9003.78</v>
      </c>
      <c r="K51" s="93">
        <v>1607.77</v>
      </c>
      <c r="AK51" s="87" t="s">
        <v>114</v>
      </c>
      <c r="AL51" s="87"/>
      <c r="AM51" s="87"/>
      <c r="AN51" s="103">
        <f>SUM(AL48:AL50)</f>
        <v>17729</v>
      </c>
      <c r="AO51" s="90"/>
      <c r="AP51" s="90"/>
      <c r="AQ51" s="90"/>
      <c r="AR51" s="90"/>
      <c r="AS51" s="90"/>
      <c r="AT51" s="90"/>
      <c r="AU51" s="90"/>
      <c r="AV51" s="90"/>
    </row>
    <row r="52" spans="1:40" ht="15.75">
      <c r="A52" s="30"/>
      <c r="B52" s="30" t="s">
        <v>130</v>
      </c>
      <c r="C52" s="101">
        <v>2</v>
      </c>
      <c r="D52" s="102">
        <v>25.9</v>
      </c>
      <c r="E52" s="102">
        <v>12.95</v>
      </c>
      <c r="F52" s="89"/>
      <c r="H52" s="23" t="s">
        <v>71</v>
      </c>
      <c r="I52" s="14">
        <f t="shared" si="14"/>
        <v>30972.16</v>
      </c>
      <c r="J52" s="93">
        <v>28586</v>
      </c>
      <c r="K52" s="93">
        <v>2386.16</v>
      </c>
      <c r="AK52" t="s">
        <v>115</v>
      </c>
      <c r="AN52">
        <v>17783</v>
      </c>
    </row>
    <row r="53" spans="1:11" ht="15.75">
      <c r="A53" s="30"/>
      <c r="B53" s="30" t="s">
        <v>131</v>
      </c>
      <c r="C53" s="101">
        <v>-23</v>
      </c>
      <c r="D53" s="102">
        <v>-192.97</v>
      </c>
      <c r="E53" s="102">
        <v>8.39</v>
      </c>
      <c r="F53" s="89"/>
      <c r="H53" s="23" t="s">
        <v>76</v>
      </c>
      <c r="I53" s="14">
        <f t="shared" si="14"/>
        <v>20910.41</v>
      </c>
      <c r="J53" s="93">
        <v>20237.25</v>
      </c>
      <c r="K53" s="93">
        <v>673.16</v>
      </c>
    </row>
    <row r="54" spans="1:11" ht="15.75">
      <c r="A54" s="30"/>
      <c r="B54" s="30" t="s">
        <v>132</v>
      </c>
      <c r="C54" s="101">
        <v>2</v>
      </c>
      <c r="D54" s="102">
        <v>142</v>
      </c>
      <c r="E54" s="102">
        <v>71</v>
      </c>
      <c r="F54" s="89"/>
      <c r="H54" s="23" t="s">
        <v>81</v>
      </c>
      <c r="I54" s="14">
        <f t="shared" si="14"/>
        <v>14230.96</v>
      </c>
      <c r="J54" s="93">
        <v>13050.75</v>
      </c>
      <c r="K54" s="93">
        <v>1180.21</v>
      </c>
    </row>
    <row r="55" spans="1:11" ht="15.75">
      <c r="A55" s="30"/>
      <c r="B55" s="30" t="s">
        <v>133</v>
      </c>
      <c r="C55" s="101">
        <v>1</v>
      </c>
      <c r="D55" s="102">
        <v>25</v>
      </c>
      <c r="E55" s="102">
        <v>25</v>
      </c>
      <c r="F55" s="89"/>
      <c r="H55" s="23" t="s">
        <v>86</v>
      </c>
      <c r="I55" s="14">
        <f t="shared" si="14"/>
        <v>4574.82</v>
      </c>
      <c r="J55" s="93">
        <v>4056</v>
      </c>
      <c r="K55" s="93">
        <v>518.82</v>
      </c>
    </row>
    <row r="56" spans="1:11" ht="16.5" thickBot="1">
      <c r="A56" s="30"/>
      <c r="B56" s="30" t="s">
        <v>134</v>
      </c>
      <c r="C56" s="101">
        <v>20</v>
      </c>
      <c r="D56" s="104">
        <v>258</v>
      </c>
      <c r="E56" s="102">
        <v>12.9</v>
      </c>
      <c r="F56" s="89"/>
      <c r="H56" s="23" t="s">
        <v>91</v>
      </c>
      <c r="I56" s="14">
        <f t="shared" si="14"/>
        <v>18756.04</v>
      </c>
      <c r="J56" s="93">
        <v>17783</v>
      </c>
      <c r="K56" s="93">
        <v>973.04</v>
      </c>
    </row>
    <row r="57" spans="8:10" ht="15">
      <c r="H57" s="105" t="s">
        <v>135</v>
      </c>
      <c r="I57" s="106" t="s">
        <v>0</v>
      </c>
      <c r="J57" s="106" t="s">
        <v>0</v>
      </c>
    </row>
    <row r="58" spans="8:9" ht="15">
      <c r="H58" s="105" t="s">
        <v>95</v>
      </c>
      <c r="I58" s="67" t="s">
        <v>0</v>
      </c>
    </row>
    <row r="59" ht="15">
      <c r="H59" s="105" t="s">
        <v>136</v>
      </c>
    </row>
    <row r="64" spans="2:4" ht="12.75">
      <c r="B64"/>
      <c r="D64" t="s">
        <v>0</v>
      </c>
    </row>
    <row r="75" ht="12.75">
      <c r="H75" s="67" t="s">
        <v>0</v>
      </c>
    </row>
    <row r="76" ht="12.75">
      <c r="H76" s="67" t="s">
        <v>0</v>
      </c>
    </row>
    <row r="77" ht="12.75">
      <c r="AA77" s="67" t="s">
        <v>0</v>
      </c>
    </row>
    <row r="78" ht="12.75">
      <c r="AA78" s="67" t="s">
        <v>0</v>
      </c>
    </row>
    <row r="79" spans="1:7" ht="15.75">
      <c r="A79" s="30" t="s">
        <v>137</v>
      </c>
      <c r="B79" s="30"/>
      <c r="C79" s="30" t="s">
        <v>138</v>
      </c>
      <c r="D79" s="30" t="s">
        <v>0</v>
      </c>
      <c r="E79" s="101"/>
      <c r="F79" s="31"/>
      <c r="G79" s="96" t="s">
        <v>0</v>
      </c>
    </row>
    <row r="80" ht="12.75">
      <c r="B80"/>
    </row>
    <row r="81" spans="1:13" ht="15.75">
      <c r="A81" s="107"/>
      <c r="B81" s="107" t="s">
        <v>139</v>
      </c>
      <c r="C81" s="107"/>
      <c r="D81" s="107"/>
      <c r="E81" s="107"/>
      <c r="F81" s="108"/>
      <c r="G81" s="42"/>
      <c r="H81" s="109"/>
      <c r="I81" s="42"/>
      <c r="J81" s="110"/>
      <c r="K81" s="42"/>
      <c r="L81" s="109"/>
      <c r="M81" s="89"/>
    </row>
    <row r="82" spans="1:13" ht="15.75">
      <c r="A82" s="107"/>
      <c r="B82" s="107"/>
      <c r="C82" s="107" t="s">
        <v>34</v>
      </c>
      <c r="D82" s="107"/>
      <c r="E82" s="107"/>
      <c r="F82" s="108"/>
      <c r="G82" s="42"/>
      <c r="H82" s="109"/>
      <c r="I82" s="42"/>
      <c r="J82" s="110"/>
      <c r="K82" s="42"/>
      <c r="L82" s="109"/>
      <c r="M82" s="89"/>
    </row>
    <row r="83" spans="1:13" ht="15.75">
      <c r="A83" s="107"/>
      <c r="B83" s="107"/>
      <c r="C83" s="107"/>
      <c r="D83" s="107" t="s">
        <v>140</v>
      </c>
      <c r="E83" s="107"/>
      <c r="F83" s="108">
        <v>4</v>
      </c>
      <c r="G83" s="42"/>
      <c r="H83" s="109">
        <v>747</v>
      </c>
      <c r="I83" s="42"/>
      <c r="J83" s="110">
        <f>ROUND(IF(H103=0,0,H83/H103),5)</f>
        <v>0.01631</v>
      </c>
      <c r="K83" s="42"/>
      <c r="L83" s="109">
        <v>186.75</v>
      </c>
      <c r="M83" s="89"/>
    </row>
    <row r="84" spans="1:13" ht="15.75">
      <c r="A84" s="107"/>
      <c r="B84" s="107"/>
      <c r="C84" s="107"/>
      <c r="D84" s="107" t="s">
        <v>141</v>
      </c>
      <c r="E84" s="107"/>
      <c r="F84" s="108">
        <v>3</v>
      </c>
      <c r="G84" s="42"/>
      <c r="H84" s="109">
        <v>4047</v>
      </c>
      <c r="I84" s="42"/>
      <c r="J84" s="110">
        <f>ROUND(IF(H103=0,0,H84/H103),5)</f>
        <v>0.08835</v>
      </c>
      <c r="K84" s="42"/>
      <c r="L84" s="109">
        <v>1349</v>
      </c>
      <c r="M84" s="89"/>
    </row>
    <row r="85" spans="1:13" ht="15.75">
      <c r="A85" s="107"/>
      <c r="B85" s="107"/>
      <c r="C85" s="107"/>
      <c r="D85" s="107" t="s">
        <v>142</v>
      </c>
      <c r="E85" s="107"/>
      <c r="F85" s="108"/>
      <c r="G85" s="42"/>
      <c r="H85" s="109"/>
      <c r="I85" s="42"/>
      <c r="J85" s="110"/>
      <c r="K85" s="42"/>
      <c r="L85" s="109"/>
      <c r="M85" s="89"/>
    </row>
    <row r="86" spans="1:13" ht="15.75">
      <c r="A86" s="107"/>
      <c r="B86" s="107"/>
      <c r="C86" s="107"/>
      <c r="D86" s="107"/>
      <c r="E86" s="107" t="s">
        <v>143</v>
      </c>
      <c r="F86" s="108">
        <v>8</v>
      </c>
      <c r="G86" s="42"/>
      <c r="H86" s="109">
        <v>1692.5</v>
      </c>
      <c r="I86" s="42"/>
      <c r="J86" s="110">
        <f>ROUND(IF(H103=0,0,H86/H103),5)</f>
        <v>0.03695</v>
      </c>
      <c r="K86" s="42"/>
      <c r="L86" s="109">
        <v>211.56</v>
      </c>
      <c r="M86" s="89"/>
    </row>
    <row r="87" spans="1:13" ht="15.75">
      <c r="A87" s="107"/>
      <c r="B87" s="107"/>
      <c r="C87" s="107"/>
      <c r="D87" s="107"/>
      <c r="E87" s="107" t="s">
        <v>144</v>
      </c>
      <c r="F87" s="108">
        <v>2</v>
      </c>
      <c r="G87" s="42"/>
      <c r="H87" s="109">
        <v>398</v>
      </c>
      <c r="I87" s="42"/>
      <c r="J87" s="110">
        <f>ROUND(IF(H103=0,0,H87/H103),5)</f>
        <v>0.00869</v>
      </c>
      <c r="K87" s="42"/>
      <c r="L87" s="109">
        <v>199</v>
      </c>
      <c r="M87" s="89"/>
    </row>
    <row r="88" spans="1:13" ht="15.75">
      <c r="A88" s="107"/>
      <c r="B88" s="107"/>
      <c r="C88" s="107"/>
      <c r="D88" s="107"/>
      <c r="E88" s="107" t="s">
        <v>145</v>
      </c>
      <c r="F88" s="108">
        <v>4</v>
      </c>
      <c r="G88" s="42"/>
      <c r="H88" s="109">
        <v>747</v>
      </c>
      <c r="I88" s="42"/>
      <c r="J88" s="110">
        <f>ROUND(IF(H103=0,0,H88/H103),5)</f>
        <v>0.01631</v>
      </c>
      <c r="K88" s="42"/>
      <c r="L88" s="109">
        <v>186.75</v>
      </c>
      <c r="M88" s="89"/>
    </row>
    <row r="89" spans="1:13" ht="15.75">
      <c r="A89" s="107"/>
      <c r="B89" s="107"/>
      <c r="C89" s="107"/>
      <c r="D89" s="107"/>
      <c r="E89" s="107" t="s">
        <v>146</v>
      </c>
      <c r="F89" s="108">
        <v>1</v>
      </c>
      <c r="G89" s="42"/>
      <c r="H89" s="109">
        <v>150</v>
      </c>
      <c r="I89" s="42"/>
      <c r="J89" s="110">
        <f>ROUND(IF(H103=0,0,H89/H103),5)</f>
        <v>0.00327</v>
      </c>
      <c r="K89" s="42"/>
      <c r="L89" s="109">
        <v>150</v>
      </c>
      <c r="M89" s="89"/>
    </row>
    <row r="90" spans="1:13" ht="15.75">
      <c r="A90" s="107"/>
      <c r="B90" s="107"/>
      <c r="C90" s="107"/>
      <c r="D90" s="107" t="s">
        <v>99</v>
      </c>
      <c r="E90" s="107"/>
      <c r="F90" s="108"/>
      <c r="G90" s="42"/>
      <c r="H90" s="109">
        <f>ROUND(SUM(H85:H89),5)</f>
        <v>2987.5</v>
      </c>
      <c r="I90" s="42"/>
      <c r="J90" s="111">
        <f>ROUND(IF(H103=0,0,H90/H103),5)</f>
        <v>0.06522</v>
      </c>
      <c r="K90" s="42"/>
      <c r="L90" s="109"/>
      <c r="M90" s="89"/>
    </row>
    <row r="91" spans="1:13" ht="15.75">
      <c r="A91" s="107"/>
      <c r="B91" s="107"/>
      <c r="C91" s="107"/>
      <c r="D91" s="107" t="s">
        <v>147</v>
      </c>
      <c r="E91" s="107"/>
      <c r="F91" s="108">
        <v>4</v>
      </c>
      <c r="G91" s="42"/>
      <c r="H91" s="109">
        <v>1050</v>
      </c>
      <c r="I91" s="42"/>
      <c r="J91" s="110">
        <f>ROUND(IF(H103=0,0,H91/H103),5)</f>
        <v>0.02292</v>
      </c>
      <c r="K91" s="42"/>
      <c r="L91" s="109">
        <v>262.5</v>
      </c>
      <c r="M91" s="89"/>
    </row>
    <row r="92" spans="1:13" ht="15.75">
      <c r="A92" s="107"/>
      <c r="B92" s="107"/>
      <c r="C92" s="107"/>
      <c r="D92" s="107" t="s">
        <v>148</v>
      </c>
      <c r="E92" s="107"/>
      <c r="F92" s="108">
        <v>4</v>
      </c>
      <c r="G92" s="42"/>
      <c r="H92" s="109">
        <v>747</v>
      </c>
      <c r="I92" s="42"/>
      <c r="J92" s="110">
        <f>ROUND(IF(H103=0,0,H92/H103),5)</f>
        <v>0.01631</v>
      </c>
      <c r="K92" s="42"/>
      <c r="L92" s="109">
        <v>186.75</v>
      </c>
      <c r="M92" s="89"/>
    </row>
    <row r="93" spans="1:13" ht="15.75">
      <c r="A93" s="107"/>
      <c r="B93" s="107"/>
      <c r="C93" s="107" t="s">
        <v>112</v>
      </c>
      <c r="D93" s="107"/>
      <c r="E93" s="107"/>
      <c r="F93" s="108"/>
      <c r="G93" s="42"/>
      <c r="H93" s="109">
        <f>H94-H90</f>
        <v>6591</v>
      </c>
      <c r="I93" s="42"/>
      <c r="J93" s="111">
        <f>H93/H103</f>
        <v>0.1438921169344495</v>
      </c>
      <c r="K93" s="42"/>
      <c r="L93" s="109"/>
      <c r="M93" s="89"/>
    </row>
    <row r="94" spans="1:13" ht="15.75">
      <c r="A94" s="107"/>
      <c r="B94" s="107"/>
      <c r="C94" s="107" t="s">
        <v>149</v>
      </c>
      <c r="D94" s="107"/>
      <c r="E94" s="107"/>
      <c r="F94" s="108"/>
      <c r="G94" s="42"/>
      <c r="H94" s="109">
        <f>ROUND(SUM(H82:H84)+SUM(H90:H92),5)</f>
        <v>9578.5</v>
      </c>
      <c r="I94" s="42"/>
      <c r="J94" s="111">
        <f>ROUND(IF(H103=0,0,H94/H103),5)</f>
        <v>0.20911</v>
      </c>
      <c r="K94" s="42"/>
      <c r="L94" s="109"/>
      <c r="M94" s="89"/>
    </row>
    <row r="95" spans="1:13" ht="15.75">
      <c r="A95" s="107"/>
      <c r="B95" s="107"/>
      <c r="C95" s="107" t="s">
        <v>150</v>
      </c>
      <c r="D95" s="107"/>
      <c r="E95" s="107"/>
      <c r="F95" s="108"/>
      <c r="G95" s="42"/>
      <c r="H95" s="109"/>
      <c r="I95" s="42"/>
      <c r="J95" s="110"/>
      <c r="K95" s="42"/>
      <c r="L95" s="109"/>
      <c r="M95" s="89"/>
    </row>
    <row r="96" spans="1:13" ht="15.75">
      <c r="A96" s="107"/>
      <c r="B96" s="107"/>
      <c r="C96" s="107"/>
      <c r="D96" s="107" t="s">
        <v>151</v>
      </c>
      <c r="E96" s="107"/>
      <c r="F96" s="108">
        <v>1</v>
      </c>
      <c r="G96" s="42"/>
      <c r="H96" s="109">
        <v>246.6</v>
      </c>
      <c r="I96" s="42"/>
      <c r="J96" s="110">
        <f>ROUND(IF(H103=0,0,H96/H103),5)</f>
        <v>0.00538</v>
      </c>
      <c r="K96" s="42"/>
      <c r="L96" s="109">
        <v>246.6</v>
      </c>
      <c r="M96" s="89"/>
    </row>
    <row r="97" spans="1:13" ht="15.75">
      <c r="A97" s="107"/>
      <c r="B97" s="107"/>
      <c r="C97" s="107"/>
      <c r="D97" s="107" t="s">
        <v>152</v>
      </c>
      <c r="E97" s="107"/>
      <c r="F97" s="108">
        <v>10250</v>
      </c>
      <c r="G97" s="42"/>
      <c r="H97" s="109">
        <v>27474.8</v>
      </c>
      <c r="I97" s="42"/>
      <c r="J97" s="110">
        <f>ROUND(IF(H103=0,0,H97/H103),5)</f>
        <v>0.59982</v>
      </c>
      <c r="K97" s="42"/>
      <c r="L97" s="109">
        <v>2.68</v>
      </c>
      <c r="M97" s="89"/>
    </row>
    <row r="98" spans="1:13" ht="15.75">
      <c r="A98" s="107"/>
      <c r="B98" s="107"/>
      <c r="C98" s="107"/>
      <c r="D98" s="107" t="s">
        <v>153</v>
      </c>
      <c r="E98" s="107"/>
      <c r="F98" s="108">
        <v>250</v>
      </c>
      <c r="G98" s="42"/>
      <c r="H98" s="109">
        <v>60</v>
      </c>
      <c r="I98" s="42"/>
      <c r="J98" s="110">
        <f>ROUND(IF(H103=0,0,H98/H103),5)</f>
        <v>0.00131</v>
      </c>
      <c r="K98" s="42"/>
      <c r="L98" s="109">
        <v>0.24</v>
      </c>
      <c r="M98" s="89"/>
    </row>
    <row r="99" spans="1:13" ht="15.75">
      <c r="A99" s="107"/>
      <c r="B99" s="107"/>
      <c r="C99" s="107"/>
      <c r="D99" s="107" t="s">
        <v>154</v>
      </c>
      <c r="E99" s="107"/>
      <c r="F99" s="108">
        <v>11</v>
      </c>
      <c r="G99" s="42"/>
      <c r="H99" s="109">
        <v>8400</v>
      </c>
      <c r="I99" s="42"/>
      <c r="J99" s="110">
        <f>ROUND(IF(H103=0,0,H99/H103),5)</f>
        <v>0.18339</v>
      </c>
      <c r="K99" s="42"/>
      <c r="L99" s="109">
        <v>763.64</v>
      </c>
      <c r="M99" s="89"/>
    </row>
    <row r="100" spans="1:13" ht="15.75">
      <c r="A100" s="107"/>
      <c r="B100" s="107"/>
      <c r="C100" s="107" t="s">
        <v>113</v>
      </c>
      <c r="D100" s="107"/>
      <c r="E100" s="107"/>
      <c r="F100" s="108"/>
      <c r="G100" s="42"/>
      <c r="H100" s="109">
        <f>ROUND(SUM(H95:H99),5)</f>
        <v>36181.4</v>
      </c>
      <c r="I100" s="42"/>
      <c r="J100" s="111">
        <f>ROUND(IF(H103=0,0,H100/H103),5)</f>
        <v>0.7899</v>
      </c>
      <c r="K100" s="42"/>
      <c r="L100" s="109"/>
      <c r="M100" s="89"/>
    </row>
    <row r="101" spans="1:13" ht="15.75">
      <c r="A101" s="107"/>
      <c r="B101" s="107"/>
      <c r="C101" s="107" t="s">
        <v>114</v>
      </c>
      <c r="D101" s="107"/>
      <c r="E101" s="107"/>
      <c r="F101" s="108">
        <v>5</v>
      </c>
      <c r="G101" s="42"/>
      <c r="H101" s="109">
        <v>45.25</v>
      </c>
      <c r="I101" s="42"/>
      <c r="J101" s="110">
        <f>ROUND(IF(H103=0,0,H101/H103),5)</f>
        <v>0.00099</v>
      </c>
      <c r="K101" s="42"/>
      <c r="L101" s="109">
        <v>9.05</v>
      </c>
      <c r="M101" s="89"/>
    </row>
    <row r="102" spans="1:13" ht="15.75">
      <c r="A102" s="107"/>
      <c r="B102" s="107" t="s">
        <v>115</v>
      </c>
      <c r="C102" s="107"/>
      <c r="D102" s="107"/>
      <c r="E102" s="107"/>
      <c r="F102" s="108"/>
      <c r="G102" s="42"/>
      <c r="H102" s="109">
        <f>ROUND(H81+H94+SUM(H100:H101),5)</f>
        <v>45805.15</v>
      </c>
      <c r="I102" s="42"/>
      <c r="J102" s="110">
        <f>ROUND(IF(H103=0,0,H102/H103),5)</f>
        <v>1</v>
      </c>
      <c r="K102" s="42"/>
      <c r="L102" s="109"/>
      <c r="M102" s="89"/>
    </row>
    <row r="103" spans="1:13" ht="15.75">
      <c r="A103" s="107" t="s">
        <v>116</v>
      </c>
      <c r="B103" s="107"/>
      <c r="C103" s="107"/>
      <c r="D103" s="107"/>
      <c r="E103" s="107"/>
      <c r="F103" s="112"/>
      <c r="G103" s="107"/>
      <c r="H103" s="113">
        <f>ROUND(H80+H102,5)</f>
        <v>45805.15</v>
      </c>
      <c r="I103" s="107"/>
      <c r="J103" s="114">
        <f>ROUND(IF(H103=0,0,H103/H103),5)</f>
        <v>1</v>
      </c>
      <c r="K103" s="107"/>
      <c r="L103" s="113"/>
      <c r="M103" s="87"/>
    </row>
    <row r="226" spans="13:22" ht="18">
      <c r="M226" s="77"/>
      <c r="N226" s="115" t="s">
        <v>110</v>
      </c>
      <c r="O226" s="116"/>
      <c r="P226" s="77"/>
      <c r="S226" s="124" t="s">
        <v>159</v>
      </c>
      <c r="T226" s="125"/>
      <c r="U226" s="125"/>
      <c r="V226" s="125"/>
    </row>
    <row r="227" spans="13:22" ht="18">
      <c r="M227" s="77"/>
      <c r="N227" s="78" t="s">
        <v>16</v>
      </c>
      <c r="O227" s="68" t="s">
        <v>17</v>
      </c>
      <c r="P227" s="68" t="s">
        <v>18</v>
      </c>
      <c r="S227" s="77"/>
      <c r="T227" s="78" t="s">
        <v>158</v>
      </c>
      <c r="U227" s="68" t="s">
        <v>160</v>
      </c>
      <c r="V227" s="68" t="s">
        <v>161</v>
      </c>
    </row>
    <row r="228" spans="13:22" ht="18">
      <c r="M228" s="80" t="s">
        <v>98</v>
      </c>
      <c r="N228" s="81" t="s">
        <v>0</v>
      </c>
      <c r="O228" s="81" t="s">
        <v>0</v>
      </c>
      <c r="P228" s="81" t="s">
        <v>0</v>
      </c>
      <c r="S228" s="80" t="s">
        <v>155</v>
      </c>
      <c r="T228" s="123">
        <v>5000</v>
      </c>
      <c r="U228" s="123">
        <v>1000</v>
      </c>
      <c r="V228" s="123">
        <f>T228-U228</f>
        <v>4000</v>
      </c>
    </row>
    <row r="229" spans="13:22" ht="18">
      <c r="M229" s="80" t="s">
        <v>107</v>
      </c>
      <c r="N229" s="83" t="s">
        <v>0</v>
      </c>
      <c r="O229" s="83" t="s">
        <v>0</v>
      </c>
      <c r="P229" s="83" t="s">
        <v>0</v>
      </c>
      <c r="S229" s="80" t="s">
        <v>156</v>
      </c>
      <c r="T229" s="123">
        <v>3750</v>
      </c>
      <c r="U229" s="123">
        <v>1000</v>
      </c>
      <c r="V229" s="123">
        <f>T229-U229</f>
        <v>2750</v>
      </c>
    </row>
    <row r="230" spans="13:22" ht="18">
      <c r="M230" s="80" t="s">
        <v>108</v>
      </c>
      <c r="N230" s="83" t="s">
        <v>0</v>
      </c>
      <c r="O230" s="83" t="s">
        <v>0</v>
      </c>
      <c r="P230" s="83" t="s">
        <v>0</v>
      </c>
      <c r="S230" s="80" t="s">
        <v>157</v>
      </c>
      <c r="T230" s="123">
        <v>2500</v>
      </c>
      <c r="U230" s="123">
        <v>1000</v>
      </c>
      <c r="V230" s="123">
        <f>T230-U230</f>
        <v>1500</v>
      </c>
    </row>
    <row r="231" spans="13:22" ht="18">
      <c r="M231" s="80" t="s">
        <v>109</v>
      </c>
      <c r="N231" s="83" t="s">
        <v>0</v>
      </c>
      <c r="O231" s="83" t="s">
        <v>0</v>
      </c>
      <c r="P231" s="83" t="s">
        <v>0</v>
      </c>
      <c r="S231" s="80" t="s">
        <v>0</v>
      </c>
      <c r="T231" s="83" t="s">
        <v>0</v>
      </c>
      <c r="U231" s="83" t="s">
        <v>0</v>
      </c>
      <c r="V231" s="83" t="s">
        <v>0</v>
      </c>
    </row>
    <row r="234" spans="19:22" ht="18">
      <c r="S234" s="124" t="s">
        <v>159</v>
      </c>
      <c r="T234" s="125"/>
      <c r="U234" s="125"/>
      <c r="V234" s="125"/>
    </row>
    <row r="235" spans="19:22" ht="18">
      <c r="S235" s="77"/>
      <c r="T235" s="78" t="s">
        <v>158</v>
      </c>
      <c r="U235" s="68" t="s">
        <v>160</v>
      </c>
      <c r="V235" s="68" t="s">
        <v>161</v>
      </c>
    </row>
    <row r="236" spans="19:23" ht="18">
      <c r="S236" s="80" t="s">
        <v>155</v>
      </c>
      <c r="T236" s="123">
        <v>5000</v>
      </c>
      <c r="U236" s="123">
        <v>1000</v>
      </c>
      <c r="V236" s="123">
        <f>T236-U236</f>
        <v>4000</v>
      </c>
      <c r="W236" s="126">
        <f>V236/4.25</f>
        <v>941.1764705882352</v>
      </c>
    </row>
    <row r="237" spans="19:23" ht="18">
      <c r="S237" s="80" t="s">
        <v>156</v>
      </c>
      <c r="T237" s="123">
        <v>3750</v>
      </c>
      <c r="U237" s="123">
        <v>1000</v>
      </c>
      <c r="V237" s="123">
        <f>T237-U237</f>
        <v>2750</v>
      </c>
      <c r="W237" s="126">
        <f>V237/4.25</f>
        <v>647.0588235294117</v>
      </c>
    </row>
    <row r="238" spans="19:23" ht="18">
      <c r="S238" s="80" t="s">
        <v>157</v>
      </c>
      <c r="T238" s="123">
        <v>2500</v>
      </c>
      <c r="U238" s="123">
        <v>1000</v>
      </c>
      <c r="V238" s="123">
        <f>T238-U238</f>
        <v>1500</v>
      </c>
      <c r="W238" s="126">
        <f>V238/4.25</f>
        <v>352.94117647058823</v>
      </c>
    </row>
    <row r="239" spans="19:22" ht="18">
      <c r="S239" s="80" t="s">
        <v>0</v>
      </c>
      <c r="T239" s="83" t="s">
        <v>0</v>
      </c>
      <c r="U239" s="83" t="s">
        <v>0</v>
      </c>
      <c r="V239" s="83" t="s">
        <v>0</v>
      </c>
    </row>
  </sheetData>
  <sheetProtection/>
  <mergeCells count="21">
    <mergeCell ref="N226:O226"/>
    <mergeCell ref="S226:V226"/>
    <mergeCell ref="S234:V234"/>
    <mergeCell ref="AE3:AH3"/>
    <mergeCell ref="AQ3:AT3"/>
    <mergeCell ref="BC3:BF3"/>
    <mergeCell ref="N24:O24"/>
    <mergeCell ref="Y3:AB3"/>
    <mergeCell ref="AK3:AN3"/>
    <mergeCell ref="AW3:AZ3"/>
    <mergeCell ref="S24:T24"/>
    <mergeCell ref="S31:T31"/>
    <mergeCell ref="M3:P3"/>
    <mergeCell ref="S3:V3"/>
    <mergeCell ref="N45:O45"/>
    <mergeCell ref="N38:P38"/>
    <mergeCell ref="D9:F9"/>
    <mergeCell ref="D11:F11"/>
    <mergeCell ref="D13:E13"/>
    <mergeCell ref="A43:F43"/>
    <mergeCell ref="N31:O31"/>
  </mergeCells>
  <printOptions/>
  <pageMargins left="0.75" right="0.75" top="1" bottom="1" header="0.5" footer="0.5"/>
  <pageSetup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Lantz</dc:creator>
  <cp:keywords/>
  <dc:description/>
  <cp:lastModifiedBy>David Lantz</cp:lastModifiedBy>
  <dcterms:created xsi:type="dcterms:W3CDTF">2013-01-07T04:14:22Z</dcterms:created>
  <dcterms:modified xsi:type="dcterms:W3CDTF">2013-01-11T18:11:02Z</dcterms:modified>
  <cp:category/>
  <cp:version/>
  <cp:contentType/>
  <cp:contentStatus/>
</cp:coreProperties>
</file>